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1101"/>
  <workbookPr/>
  <mc:AlternateContent xmlns:mc="http://schemas.openxmlformats.org/markup-compatibility/2006">
    <mc:Choice Requires="x15">
      <x15ac:absPath xmlns:x15ac="http://schemas.microsoft.com/office/spreadsheetml/2010/11/ac" url="/Users/MAPH/Documents/Sacprep/RENEWAL 2017-2018/Budget/"/>
    </mc:Choice>
  </mc:AlternateContent>
  <bookViews>
    <workbookView xWindow="0" yWindow="460" windowWidth="38400" windowHeight="23460" activeTab="1"/>
  </bookViews>
  <sheets>
    <sheet name="General Info Input" sheetId="1" r:id="rId1"/>
    <sheet name="Revenue Input" sheetId="5" r:id="rId2"/>
    <sheet name="Expense Input" sheetId="7" r:id="rId3"/>
    <sheet name="Budget Summary" sheetId="3" r:id="rId4"/>
    <sheet name="Cash Flow Input" sheetId="2" r:id="rId5"/>
    <sheet name="Cash Flow Summary" sheetId="11" r:id="rId6"/>
    <sheet name="Y1 Cash Flow Assumptions" sheetId="4" r:id="rId7"/>
    <sheet name="Y2_3 Cash Flow Assumptions" sheetId="10" r:id="rId8"/>
    <sheet name="Model Calculations" sheetId="6" state="hidden" r:id="rId9"/>
  </sheets>
  <definedNames>
    <definedName name="_xlnm.Print_Area" localSheetId="5">'Cash Flow Summary'!$A$1:$AW$110</definedName>
    <definedName name="_xlnm.Print_Titles" localSheetId="5">'Cash Flow Summary'!$A:$B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1" l="1"/>
  <c r="C19" i="1"/>
  <c r="B19" i="1"/>
  <c r="C21" i="1"/>
  <c r="C170" i="7"/>
  <c r="D87" i="3"/>
  <c r="G152" i="7"/>
  <c r="D19" i="1"/>
  <c r="D21" i="1"/>
  <c r="H152" i="7"/>
  <c r="E19" i="1"/>
  <c r="E21" i="1"/>
  <c r="I152" i="7"/>
  <c r="F19" i="1"/>
  <c r="F21" i="1"/>
  <c r="J152" i="7"/>
  <c r="G77" i="3"/>
  <c r="G151" i="7"/>
  <c r="H151" i="7"/>
  <c r="I151" i="7"/>
  <c r="J151" i="7"/>
  <c r="G79" i="3"/>
  <c r="G85" i="3"/>
  <c r="F140" i="7"/>
  <c r="G140" i="7"/>
  <c r="H140" i="7"/>
  <c r="I140" i="7"/>
  <c r="J140" i="7"/>
  <c r="G86" i="3"/>
  <c r="D170" i="7"/>
  <c r="E170" i="7"/>
  <c r="F170" i="7"/>
  <c r="G87" i="3"/>
  <c r="V112" i="2"/>
  <c r="D118" i="2"/>
  <c r="E115" i="2"/>
  <c r="E118" i="2"/>
  <c r="F115" i="2"/>
  <c r="F118" i="2"/>
  <c r="G115" i="2"/>
  <c r="G118" i="2"/>
  <c r="H115" i="2"/>
  <c r="H118" i="2"/>
  <c r="I115" i="2"/>
  <c r="I118" i="2"/>
  <c r="J115" i="2"/>
  <c r="J118" i="2"/>
  <c r="K115" i="2"/>
  <c r="K118" i="2"/>
  <c r="L115" i="2"/>
  <c r="L118" i="2"/>
  <c r="M115" i="2"/>
  <c r="M118" i="2"/>
  <c r="N115" i="2"/>
  <c r="N118" i="2"/>
  <c r="O115" i="2"/>
  <c r="O118" i="2"/>
  <c r="T115" i="2"/>
  <c r="T118" i="2"/>
  <c r="U115" i="2"/>
  <c r="U118" i="2"/>
  <c r="V115" i="2"/>
  <c r="V118" i="2"/>
  <c r="W115" i="2"/>
  <c r="W118" i="2"/>
  <c r="X115" i="2"/>
  <c r="X118" i="2"/>
  <c r="Y115" i="2"/>
  <c r="Y118" i="2"/>
  <c r="Z115" i="2"/>
  <c r="Z118" i="2"/>
  <c r="AA115" i="2"/>
  <c r="AA118" i="2"/>
  <c r="AB115" i="2"/>
  <c r="AB118" i="2"/>
  <c r="AC115" i="2"/>
  <c r="AC118" i="2"/>
  <c r="AD115" i="2"/>
  <c r="AD118" i="2"/>
  <c r="AE115" i="2"/>
  <c r="AE118" i="2"/>
  <c r="AJ115" i="2"/>
  <c r="AJ119" i="2"/>
  <c r="AJ118" i="2"/>
  <c r="AK115" i="2"/>
  <c r="AK119" i="2"/>
  <c r="AK118" i="2"/>
  <c r="AL115" i="2"/>
  <c r="AL119" i="2"/>
  <c r="AL118" i="2"/>
  <c r="AM115" i="2"/>
  <c r="AM119" i="2"/>
  <c r="AM118" i="2"/>
  <c r="AN115" i="2"/>
  <c r="AN119" i="2"/>
  <c r="AN118" i="2"/>
  <c r="AO115" i="2"/>
  <c r="AO119" i="2"/>
  <c r="AO118" i="2"/>
  <c r="AP115" i="2"/>
  <c r="AP119" i="2"/>
  <c r="AP118" i="2"/>
  <c r="AQ115" i="2"/>
  <c r="AQ119" i="2"/>
  <c r="AQ118" i="2"/>
  <c r="AR115" i="2"/>
  <c r="AR119" i="2"/>
  <c r="AR118" i="2"/>
  <c r="AS115" i="2"/>
  <c r="AS119" i="2"/>
  <c r="AS118" i="2"/>
  <c r="AT115" i="2"/>
  <c r="AT119" i="2"/>
  <c r="AT118" i="2"/>
  <c r="AU115" i="2"/>
  <c r="AU119" i="2"/>
  <c r="V123" i="2"/>
  <c r="D129" i="2"/>
  <c r="E126" i="2"/>
  <c r="E129" i="2"/>
  <c r="F126" i="2"/>
  <c r="F129" i="2"/>
  <c r="G126" i="2"/>
  <c r="G129" i="2"/>
  <c r="H126" i="2"/>
  <c r="H129" i="2"/>
  <c r="I126" i="2"/>
  <c r="I129" i="2"/>
  <c r="J126" i="2"/>
  <c r="J129" i="2"/>
  <c r="K126" i="2"/>
  <c r="K129" i="2"/>
  <c r="L126" i="2"/>
  <c r="L129" i="2"/>
  <c r="M126" i="2"/>
  <c r="M129" i="2"/>
  <c r="N126" i="2"/>
  <c r="N129" i="2"/>
  <c r="O126" i="2"/>
  <c r="O129" i="2"/>
  <c r="T126" i="2"/>
  <c r="T129" i="2"/>
  <c r="U126" i="2"/>
  <c r="U129" i="2"/>
  <c r="V126" i="2"/>
  <c r="V129" i="2"/>
  <c r="W126" i="2"/>
  <c r="W129" i="2"/>
  <c r="X126" i="2"/>
  <c r="X129" i="2"/>
  <c r="Y126" i="2"/>
  <c r="Y129" i="2"/>
  <c r="Z126" i="2"/>
  <c r="Z129" i="2"/>
  <c r="AA126" i="2"/>
  <c r="AA129" i="2"/>
  <c r="AB126" i="2"/>
  <c r="AB129" i="2"/>
  <c r="AC126" i="2"/>
  <c r="AC129" i="2"/>
  <c r="AD126" i="2"/>
  <c r="AD129" i="2"/>
  <c r="AE126" i="2"/>
  <c r="AE129" i="2"/>
  <c r="AJ126" i="2"/>
  <c r="AJ130" i="2"/>
  <c r="AJ129" i="2"/>
  <c r="AK126" i="2"/>
  <c r="AK130" i="2"/>
  <c r="AK129" i="2"/>
  <c r="AL126" i="2"/>
  <c r="AL130" i="2"/>
  <c r="AL129" i="2"/>
  <c r="AM126" i="2"/>
  <c r="AM130" i="2"/>
  <c r="AM129" i="2"/>
  <c r="AN126" i="2"/>
  <c r="AN130" i="2"/>
  <c r="AN129" i="2"/>
  <c r="AO126" i="2"/>
  <c r="AO130" i="2"/>
  <c r="AO129" i="2"/>
  <c r="AP126" i="2"/>
  <c r="AP130" i="2"/>
  <c r="AP129" i="2"/>
  <c r="AQ126" i="2"/>
  <c r="AQ130" i="2"/>
  <c r="AQ129" i="2"/>
  <c r="AR126" i="2"/>
  <c r="AR130" i="2"/>
  <c r="AR129" i="2"/>
  <c r="AS126" i="2"/>
  <c r="AS130" i="2"/>
  <c r="AS129" i="2"/>
  <c r="AT126" i="2"/>
  <c r="AT130" i="2"/>
  <c r="AT129" i="2"/>
  <c r="AU126" i="2"/>
  <c r="AU130" i="2"/>
  <c r="V134" i="2"/>
  <c r="E137" i="2"/>
  <c r="F137" i="2"/>
  <c r="G137" i="2"/>
  <c r="H137" i="2"/>
  <c r="I137" i="2"/>
  <c r="J137" i="2"/>
  <c r="K137" i="2"/>
  <c r="L137" i="2"/>
  <c r="M137" i="2"/>
  <c r="N137" i="2"/>
  <c r="O137" i="2"/>
  <c r="O140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E140" i="2"/>
  <c r="AJ137" i="2"/>
  <c r="AJ141" i="2"/>
  <c r="AK137" i="2"/>
  <c r="AK141" i="2"/>
  <c r="AL137" i="2"/>
  <c r="AL141" i="2"/>
  <c r="AM137" i="2"/>
  <c r="AM141" i="2"/>
  <c r="AN137" i="2"/>
  <c r="AN141" i="2"/>
  <c r="AO137" i="2"/>
  <c r="AO141" i="2"/>
  <c r="AP137" i="2"/>
  <c r="AP141" i="2"/>
  <c r="AQ137" i="2"/>
  <c r="AQ141" i="2"/>
  <c r="AR137" i="2"/>
  <c r="AR141" i="2"/>
  <c r="AS137" i="2"/>
  <c r="AS141" i="2"/>
  <c r="AT137" i="2"/>
  <c r="AT141" i="2"/>
  <c r="AU137" i="2"/>
  <c r="AU141" i="2"/>
  <c r="E90" i="3"/>
  <c r="F90" i="3"/>
  <c r="G90" i="3"/>
  <c r="D27" i="1"/>
  <c r="D28" i="1"/>
  <c r="D29" i="1"/>
  <c r="D30" i="1"/>
  <c r="D31" i="1"/>
  <c r="E5" i="5"/>
  <c r="E27" i="1"/>
  <c r="E28" i="1"/>
  <c r="E29" i="1"/>
  <c r="E30" i="1"/>
  <c r="E31" i="1"/>
  <c r="F4" i="5"/>
  <c r="F5" i="5"/>
  <c r="F27" i="1"/>
  <c r="F28" i="1"/>
  <c r="F29" i="1"/>
  <c r="F30" i="1"/>
  <c r="F31" i="1"/>
  <c r="G4" i="5"/>
  <c r="G8" i="3"/>
  <c r="D6" i="5"/>
  <c r="E6" i="5"/>
  <c r="F6" i="5"/>
  <c r="G6" i="5"/>
  <c r="G7" i="3"/>
  <c r="G6" i="3"/>
  <c r="G9" i="3"/>
  <c r="G93" i="3"/>
  <c r="G95" i="3"/>
  <c r="G90" i="6"/>
  <c r="G91" i="6"/>
  <c r="G92" i="6"/>
  <c r="G12" i="3"/>
  <c r="G93" i="6"/>
  <c r="G94" i="6"/>
  <c r="G21" i="3"/>
  <c r="G69" i="3"/>
  <c r="F104" i="7"/>
  <c r="G104" i="7"/>
  <c r="H104" i="7"/>
  <c r="I104" i="7"/>
  <c r="J104" i="7"/>
  <c r="G68" i="3"/>
  <c r="G70" i="3"/>
  <c r="D78" i="7"/>
  <c r="E78" i="7"/>
  <c r="F78" i="7"/>
  <c r="G78" i="7"/>
  <c r="G55" i="6"/>
  <c r="G54" i="6"/>
  <c r="G56" i="6"/>
  <c r="G57" i="6"/>
  <c r="G58" i="6"/>
  <c r="G59" i="6"/>
  <c r="G60" i="6"/>
  <c r="G61" i="6"/>
  <c r="G62" i="6"/>
  <c r="G63" i="6"/>
  <c r="G64" i="6"/>
  <c r="G65" i="6"/>
  <c r="G57" i="3"/>
  <c r="G10" i="6"/>
  <c r="G11" i="6"/>
  <c r="G12" i="6"/>
  <c r="G13" i="6"/>
  <c r="G14" i="6"/>
  <c r="G15" i="6"/>
  <c r="G16" i="6"/>
  <c r="G53" i="3"/>
  <c r="G18" i="6"/>
  <c r="G19" i="6"/>
  <c r="G20" i="6"/>
  <c r="G21" i="6"/>
  <c r="G22" i="6"/>
  <c r="G23" i="6"/>
  <c r="G24" i="6"/>
  <c r="G54" i="3"/>
  <c r="D8" i="7"/>
  <c r="E8" i="7"/>
  <c r="F8" i="7"/>
  <c r="G8" i="7"/>
  <c r="G9" i="7"/>
  <c r="G68" i="6"/>
  <c r="G69" i="6"/>
  <c r="D14" i="7"/>
  <c r="E14" i="7"/>
  <c r="F14" i="7"/>
  <c r="G14" i="7"/>
  <c r="G15" i="7"/>
  <c r="G70" i="6"/>
  <c r="D18" i="7"/>
  <c r="E18" i="7"/>
  <c r="F18" i="7"/>
  <c r="G18" i="7"/>
  <c r="G19" i="7"/>
  <c r="G71" i="6"/>
  <c r="D22" i="7"/>
  <c r="E22" i="7"/>
  <c r="F22" i="7"/>
  <c r="G22" i="7"/>
  <c r="G23" i="7"/>
  <c r="G72" i="6"/>
  <c r="D26" i="7"/>
  <c r="E26" i="7"/>
  <c r="F26" i="7"/>
  <c r="G26" i="7"/>
  <c r="G27" i="7"/>
  <c r="G73" i="6"/>
  <c r="D36" i="7"/>
  <c r="E36" i="7"/>
  <c r="F36" i="7"/>
  <c r="G36" i="7"/>
  <c r="G37" i="7"/>
  <c r="D40" i="7"/>
  <c r="E40" i="7"/>
  <c r="F40" i="7"/>
  <c r="G40" i="7"/>
  <c r="G41" i="7"/>
  <c r="D44" i="7"/>
  <c r="E44" i="7"/>
  <c r="F44" i="7"/>
  <c r="G44" i="7"/>
  <c r="G45" i="7"/>
  <c r="D48" i="7"/>
  <c r="E48" i="7"/>
  <c r="F48" i="7"/>
  <c r="G48" i="7"/>
  <c r="G49" i="7"/>
  <c r="D56" i="7"/>
  <c r="E56" i="7"/>
  <c r="F56" i="7"/>
  <c r="G56" i="7"/>
  <c r="G57" i="7"/>
  <c r="G59" i="7"/>
  <c r="G74" i="6"/>
  <c r="G75" i="6"/>
  <c r="G55" i="3"/>
  <c r="G29" i="7"/>
  <c r="G78" i="6"/>
  <c r="G56" i="3"/>
  <c r="G81" i="6"/>
  <c r="G58" i="3"/>
  <c r="G84" i="6"/>
  <c r="G59" i="3"/>
  <c r="D83" i="7"/>
  <c r="E83" i="7"/>
  <c r="F83" i="7"/>
  <c r="G83" i="7"/>
  <c r="G26" i="6"/>
  <c r="G27" i="6"/>
  <c r="G28" i="6"/>
  <c r="G29" i="6"/>
  <c r="G30" i="6"/>
  <c r="G31" i="6"/>
  <c r="G32" i="6"/>
  <c r="G33" i="6"/>
  <c r="G34" i="6"/>
  <c r="G35" i="6"/>
  <c r="D52" i="7"/>
  <c r="E52" i="7"/>
  <c r="F52" i="7"/>
  <c r="G52" i="7"/>
  <c r="G53" i="7"/>
  <c r="G36" i="6"/>
  <c r="G37" i="6"/>
  <c r="G38" i="6"/>
  <c r="G60" i="3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61" i="3"/>
  <c r="G62" i="3"/>
  <c r="G37" i="3"/>
  <c r="G38" i="3"/>
  <c r="G39" i="3"/>
  <c r="G40" i="3"/>
  <c r="G41" i="3"/>
  <c r="G42" i="3"/>
  <c r="G43" i="3"/>
  <c r="G45" i="3"/>
  <c r="G46" i="3"/>
  <c r="G47" i="3"/>
  <c r="G48" i="3"/>
  <c r="G49" i="3"/>
  <c r="G50" i="3"/>
  <c r="G51" i="3"/>
  <c r="G96" i="3"/>
  <c r="F77" i="3"/>
  <c r="F79" i="3"/>
  <c r="F85" i="3"/>
  <c r="F86" i="3"/>
  <c r="F87" i="3"/>
  <c r="F8" i="3"/>
  <c r="F7" i="3"/>
  <c r="F6" i="3"/>
  <c r="F9" i="3"/>
  <c r="F93" i="3"/>
  <c r="F95" i="3"/>
  <c r="F90" i="6"/>
  <c r="F91" i="6"/>
  <c r="F92" i="6"/>
  <c r="F12" i="3"/>
  <c r="F93" i="6"/>
  <c r="F94" i="6"/>
  <c r="F21" i="3"/>
  <c r="F69" i="3"/>
  <c r="F68" i="3"/>
  <c r="F70" i="3"/>
  <c r="F55" i="6"/>
  <c r="F54" i="6"/>
  <c r="F56" i="6"/>
  <c r="F57" i="6"/>
  <c r="F58" i="6"/>
  <c r="F59" i="6"/>
  <c r="F60" i="6"/>
  <c r="F61" i="6"/>
  <c r="F62" i="6"/>
  <c r="F63" i="6"/>
  <c r="F64" i="6"/>
  <c r="F65" i="6"/>
  <c r="F57" i="3"/>
  <c r="F10" i="6"/>
  <c r="F11" i="6"/>
  <c r="F12" i="6"/>
  <c r="F13" i="6"/>
  <c r="F14" i="6"/>
  <c r="F15" i="6"/>
  <c r="F16" i="6"/>
  <c r="F53" i="3"/>
  <c r="F18" i="6"/>
  <c r="F19" i="6"/>
  <c r="F20" i="6"/>
  <c r="F21" i="6"/>
  <c r="F22" i="6"/>
  <c r="F23" i="6"/>
  <c r="F24" i="6"/>
  <c r="F54" i="3"/>
  <c r="F9" i="7"/>
  <c r="F68" i="6"/>
  <c r="F69" i="6"/>
  <c r="F15" i="7"/>
  <c r="F70" i="6"/>
  <c r="F19" i="7"/>
  <c r="F71" i="6"/>
  <c r="F23" i="7"/>
  <c r="F72" i="6"/>
  <c r="F27" i="7"/>
  <c r="F73" i="6"/>
  <c r="F37" i="7"/>
  <c r="F41" i="7"/>
  <c r="F45" i="7"/>
  <c r="F49" i="7"/>
  <c r="F57" i="7"/>
  <c r="F59" i="7"/>
  <c r="F74" i="6"/>
  <c r="F75" i="6"/>
  <c r="F55" i="3"/>
  <c r="F29" i="7"/>
  <c r="F78" i="6"/>
  <c r="F56" i="3"/>
  <c r="F81" i="6"/>
  <c r="F58" i="3"/>
  <c r="F84" i="6"/>
  <c r="F59" i="3"/>
  <c r="F26" i="6"/>
  <c r="F27" i="6"/>
  <c r="F28" i="6"/>
  <c r="F29" i="6"/>
  <c r="F30" i="6"/>
  <c r="F31" i="6"/>
  <c r="F32" i="6"/>
  <c r="F33" i="6"/>
  <c r="F34" i="6"/>
  <c r="F35" i="6"/>
  <c r="F53" i="7"/>
  <c r="F36" i="6"/>
  <c r="F37" i="6"/>
  <c r="F38" i="6"/>
  <c r="F60" i="3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61" i="3"/>
  <c r="F62" i="3"/>
  <c r="F37" i="3"/>
  <c r="F38" i="3"/>
  <c r="F39" i="3"/>
  <c r="F40" i="3"/>
  <c r="F41" i="3"/>
  <c r="F42" i="3"/>
  <c r="F43" i="3"/>
  <c r="F45" i="3"/>
  <c r="F46" i="3"/>
  <c r="F47" i="3"/>
  <c r="F48" i="3"/>
  <c r="F49" i="3"/>
  <c r="F50" i="3"/>
  <c r="F51" i="3"/>
  <c r="F96" i="3"/>
  <c r="E77" i="3"/>
  <c r="E79" i="3"/>
  <c r="E85" i="3"/>
  <c r="E86" i="3"/>
  <c r="E87" i="3"/>
  <c r="E8" i="3"/>
  <c r="E7" i="3"/>
  <c r="E6" i="3"/>
  <c r="E9" i="3"/>
  <c r="E93" i="3"/>
  <c r="E95" i="3"/>
  <c r="E90" i="6"/>
  <c r="E91" i="6"/>
  <c r="E92" i="6"/>
  <c r="E12" i="3"/>
  <c r="E93" i="6"/>
  <c r="E94" i="6"/>
  <c r="E21" i="3"/>
  <c r="E69" i="3"/>
  <c r="E68" i="3"/>
  <c r="E70" i="3"/>
  <c r="E55" i="6"/>
  <c r="E54" i="6"/>
  <c r="E56" i="6"/>
  <c r="E57" i="6"/>
  <c r="E58" i="6"/>
  <c r="E59" i="6"/>
  <c r="E60" i="6"/>
  <c r="E61" i="6"/>
  <c r="E62" i="6"/>
  <c r="E63" i="6"/>
  <c r="E64" i="6"/>
  <c r="E65" i="6"/>
  <c r="E57" i="3"/>
  <c r="E10" i="6"/>
  <c r="E11" i="6"/>
  <c r="E12" i="6"/>
  <c r="E13" i="6"/>
  <c r="E14" i="6"/>
  <c r="E15" i="6"/>
  <c r="E16" i="6"/>
  <c r="E53" i="3"/>
  <c r="E18" i="6"/>
  <c r="E19" i="6"/>
  <c r="E20" i="6"/>
  <c r="E21" i="6"/>
  <c r="E22" i="6"/>
  <c r="E23" i="6"/>
  <c r="E24" i="6"/>
  <c r="E54" i="3"/>
  <c r="E9" i="7"/>
  <c r="E68" i="6"/>
  <c r="E69" i="6"/>
  <c r="E15" i="7"/>
  <c r="E70" i="6"/>
  <c r="E19" i="7"/>
  <c r="E71" i="6"/>
  <c r="E23" i="7"/>
  <c r="E72" i="6"/>
  <c r="E27" i="7"/>
  <c r="E73" i="6"/>
  <c r="E37" i="7"/>
  <c r="E41" i="7"/>
  <c r="E45" i="7"/>
  <c r="E49" i="7"/>
  <c r="E57" i="7"/>
  <c r="E59" i="7"/>
  <c r="E74" i="6"/>
  <c r="E75" i="6"/>
  <c r="E55" i="3"/>
  <c r="E29" i="7"/>
  <c r="E78" i="6"/>
  <c r="E56" i="3"/>
  <c r="E81" i="6"/>
  <c r="E58" i="3"/>
  <c r="E84" i="6"/>
  <c r="E59" i="3"/>
  <c r="E26" i="6"/>
  <c r="E27" i="6"/>
  <c r="E28" i="6"/>
  <c r="E29" i="6"/>
  <c r="E30" i="6"/>
  <c r="E31" i="6"/>
  <c r="E32" i="6"/>
  <c r="E33" i="6"/>
  <c r="E34" i="6"/>
  <c r="E35" i="6"/>
  <c r="E53" i="7"/>
  <c r="E36" i="6"/>
  <c r="E37" i="6"/>
  <c r="E38" i="6"/>
  <c r="E60" i="3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61" i="3"/>
  <c r="E62" i="3"/>
  <c r="E37" i="3"/>
  <c r="E38" i="3"/>
  <c r="E39" i="3"/>
  <c r="E40" i="3"/>
  <c r="E41" i="3"/>
  <c r="E42" i="3"/>
  <c r="E43" i="3"/>
  <c r="E45" i="3"/>
  <c r="E46" i="3"/>
  <c r="E47" i="3"/>
  <c r="E48" i="3"/>
  <c r="E49" i="3"/>
  <c r="E50" i="3"/>
  <c r="E51" i="3"/>
  <c r="E96" i="3"/>
  <c r="D77" i="3"/>
  <c r="D79" i="3"/>
  <c r="D85" i="3"/>
  <c r="D86" i="3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D90" i="3"/>
  <c r="C27" i="1"/>
  <c r="C28" i="1"/>
  <c r="C29" i="1"/>
  <c r="C30" i="1"/>
  <c r="C31" i="1"/>
  <c r="D8" i="3"/>
  <c r="D7" i="3"/>
  <c r="D6" i="3"/>
  <c r="D9" i="3"/>
  <c r="D93" i="3"/>
  <c r="D95" i="3"/>
  <c r="D90" i="6"/>
  <c r="D91" i="6"/>
  <c r="D92" i="6"/>
  <c r="D12" i="3"/>
  <c r="D93" i="6"/>
  <c r="D94" i="6"/>
  <c r="D21" i="3"/>
  <c r="D69" i="3"/>
  <c r="D68" i="3"/>
  <c r="D70" i="3"/>
  <c r="D55" i="6"/>
  <c r="D54" i="6"/>
  <c r="D56" i="6"/>
  <c r="D57" i="6"/>
  <c r="D58" i="6"/>
  <c r="D59" i="6"/>
  <c r="D60" i="6"/>
  <c r="D61" i="6"/>
  <c r="D62" i="6"/>
  <c r="D63" i="6"/>
  <c r="D64" i="6"/>
  <c r="D65" i="6"/>
  <c r="D57" i="3"/>
  <c r="D10" i="6"/>
  <c r="D11" i="6"/>
  <c r="D12" i="6"/>
  <c r="D13" i="6"/>
  <c r="D14" i="6"/>
  <c r="D15" i="6"/>
  <c r="D16" i="6"/>
  <c r="D53" i="3"/>
  <c r="D18" i="6"/>
  <c r="D19" i="6"/>
  <c r="D20" i="6"/>
  <c r="D21" i="6"/>
  <c r="D22" i="6"/>
  <c r="D23" i="6"/>
  <c r="D24" i="6"/>
  <c r="D54" i="3"/>
  <c r="D9" i="7"/>
  <c r="D68" i="6"/>
  <c r="D69" i="6"/>
  <c r="D15" i="7"/>
  <c r="D70" i="6"/>
  <c r="D19" i="7"/>
  <c r="D71" i="6"/>
  <c r="D23" i="7"/>
  <c r="D72" i="6"/>
  <c r="D27" i="7"/>
  <c r="D73" i="6"/>
  <c r="D37" i="7"/>
  <c r="D41" i="7"/>
  <c r="D45" i="7"/>
  <c r="D49" i="7"/>
  <c r="D57" i="7"/>
  <c r="D59" i="7"/>
  <c r="D74" i="6"/>
  <c r="D75" i="6"/>
  <c r="D55" i="3"/>
  <c r="D29" i="7"/>
  <c r="D78" i="6"/>
  <c r="D56" i="3"/>
  <c r="D81" i="6"/>
  <c r="D58" i="3"/>
  <c r="D84" i="6"/>
  <c r="D59" i="3"/>
  <c r="D26" i="6"/>
  <c r="D27" i="6"/>
  <c r="D28" i="6"/>
  <c r="D29" i="6"/>
  <c r="D30" i="6"/>
  <c r="D31" i="6"/>
  <c r="D32" i="6"/>
  <c r="D33" i="6"/>
  <c r="D34" i="6"/>
  <c r="D35" i="6"/>
  <c r="D53" i="7"/>
  <c r="D36" i="6"/>
  <c r="D37" i="6"/>
  <c r="D38" i="6"/>
  <c r="D60" i="3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61" i="3"/>
  <c r="D62" i="3"/>
  <c r="D37" i="3"/>
  <c r="D38" i="3"/>
  <c r="D39" i="3"/>
  <c r="D40" i="3"/>
  <c r="D41" i="3"/>
  <c r="D42" i="3"/>
  <c r="D43" i="3"/>
  <c r="D45" i="3"/>
  <c r="D46" i="3"/>
  <c r="D47" i="3"/>
  <c r="D48" i="3"/>
  <c r="D49" i="3"/>
  <c r="D50" i="3"/>
  <c r="D51" i="3"/>
  <c r="D96" i="3"/>
  <c r="L56" i="7"/>
  <c r="M56" i="7"/>
  <c r="N56" i="7"/>
  <c r="L44" i="7"/>
  <c r="M44" i="7"/>
  <c r="C142" i="7"/>
  <c r="C133" i="7"/>
  <c r="C134" i="7"/>
  <c r="C135" i="7"/>
  <c r="C101" i="7"/>
  <c r="C136" i="7"/>
  <c r="C137" i="7"/>
  <c r="C138" i="7"/>
  <c r="C139" i="7"/>
  <c r="C140" i="7"/>
  <c r="C141" i="7"/>
  <c r="C143" i="7"/>
  <c r="O72" i="10"/>
  <c r="N72" i="10"/>
  <c r="M72" i="10"/>
  <c r="L72" i="10"/>
  <c r="K72" i="10"/>
  <c r="J72" i="10"/>
  <c r="I72" i="10"/>
  <c r="H72" i="10"/>
  <c r="G72" i="10"/>
  <c r="F72" i="10"/>
  <c r="E72" i="10"/>
  <c r="D72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D69" i="4"/>
  <c r="E69" i="4"/>
  <c r="F69" i="4"/>
  <c r="G69" i="4"/>
  <c r="H69" i="4"/>
  <c r="I69" i="4"/>
  <c r="J69" i="4"/>
  <c r="K69" i="4"/>
  <c r="L69" i="4"/>
  <c r="M69" i="4"/>
  <c r="N69" i="4"/>
  <c r="O69" i="4"/>
  <c r="D70" i="4"/>
  <c r="E70" i="4"/>
  <c r="F70" i="4"/>
  <c r="G70" i="4"/>
  <c r="H70" i="4"/>
  <c r="I70" i="4"/>
  <c r="J70" i="4"/>
  <c r="K70" i="4"/>
  <c r="L70" i="4"/>
  <c r="M70" i="4"/>
  <c r="N70" i="4"/>
  <c r="O70" i="4"/>
  <c r="D71" i="4"/>
  <c r="E71" i="4"/>
  <c r="F71" i="4"/>
  <c r="G71" i="4"/>
  <c r="H71" i="4"/>
  <c r="I71" i="4"/>
  <c r="J71" i="4"/>
  <c r="K71" i="4"/>
  <c r="L71" i="4"/>
  <c r="M71" i="4"/>
  <c r="N71" i="4"/>
  <c r="O71" i="4"/>
  <c r="D72" i="4"/>
  <c r="E72" i="4"/>
  <c r="F72" i="4"/>
  <c r="G72" i="4"/>
  <c r="H72" i="4"/>
  <c r="I72" i="4"/>
  <c r="J72" i="4"/>
  <c r="K72" i="4"/>
  <c r="L72" i="4"/>
  <c r="M72" i="4"/>
  <c r="N72" i="4"/>
  <c r="O72" i="4"/>
  <c r="H68" i="4"/>
  <c r="I68" i="4"/>
  <c r="J68" i="4"/>
  <c r="K68" i="4"/>
  <c r="L68" i="4"/>
  <c r="M68" i="4"/>
  <c r="N68" i="4"/>
  <c r="O68" i="4"/>
  <c r="G68" i="4"/>
  <c r="F68" i="4"/>
  <c r="E68" i="4"/>
  <c r="D68" i="4"/>
  <c r="F133" i="7"/>
  <c r="G133" i="7"/>
  <c r="H133" i="7"/>
  <c r="I133" i="7"/>
  <c r="J133" i="7"/>
  <c r="F142" i="7"/>
  <c r="G142" i="7"/>
  <c r="H142" i="7"/>
  <c r="I142" i="7"/>
  <c r="J142" i="7"/>
  <c r="AK106" i="2"/>
  <c r="AK106" i="11"/>
  <c r="AL106" i="2"/>
  <c r="AL106" i="11"/>
  <c r="AM106" i="2"/>
  <c r="AM106" i="11"/>
  <c r="AK107" i="2"/>
  <c r="AK107" i="11"/>
  <c r="AJ107" i="2"/>
  <c r="AJ107" i="11"/>
  <c r="AJ106" i="2"/>
  <c r="AJ106" i="11"/>
  <c r="U106" i="2"/>
  <c r="U106" i="11"/>
  <c r="U107" i="2"/>
  <c r="U107" i="11"/>
  <c r="T107" i="2"/>
  <c r="T107" i="11"/>
  <c r="T106" i="2"/>
  <c r="T106" i="11"/>
  <c r="C26" i="11"/>
  <c r="O26" i="11"/>
  <c r="A1" i="11"/>
  <c r="F26" i="11"/>
  <c r="N26" i="11"/>
  <c r="H26" i="11"/>
  <c r="P26" i="11"/>
  <c r="J26" i="11"/>
  <c r="D26" i="11"/>
  <c r="L26" i="11"/>
  <c r="E26" i="11"/>
  <c r="I26" i="11"/>
  <c r="M26" i="11"/>
  <c r="G26" i="11"/>
  <c r="K26" i="11"/>
  <c r="AL134" i="2"/>
  <c r="AL123" i="2"/>
  <c r="AL112" i="2"/>
  <c r="AU107" i="2"/>
  <c r="AU107" i="11"/>
  <c r="AT107" i="2"/>
  <c r="AT107" i="11"/>
  <c r="AS107" i="2"/>
  <c r="AS107" i="11"/>
  <c r="AR107" i="2"/>
  <c r="AR107" i="11"/>
  <c r="AQ107" i="2"/>
  <c r="AQ107" i="11"/>
  <c r="AP107" i="2"/>
  <c r="AP107" i="11"/>
  <c r="AO107" i="2"/>
  <c r="AO107" i="11"/>
  <c r="AN107" i="2"/>
  <c r="AN107" i="11"/>
  <c r="AM107" i="2"/>
  <c r="AM107" i="11"/>
  <c r="AL107" i="2"/>
  <c r="AL107" i="11"/>
  <c r="AU106" i="2"/>
  <c r="AU106" i="11"/>
  <c r="AT106" i="2"/>
  <c r="AT106" i="11"/>
  <c r="AS106" i="2"/>
  <c r="AS106" i="11"/>
  <c r="AR106" i="2"/>
  <c r="AR106" i="11"/>
  <c r="AQ106" i="2"/>
  <c r="AQ106" i="11"/>
  <c r="AP106" i="2"/>
  <c r="AP106" i="11"/>
  <c r="AO106" i="2"/>
  <c r="AO106" i="11"/>
  <c r="AN106" i="2"/>
  <c r="AN106" i="11"/>
  <c r="AW75" i="2"/>
  <c r="AW67" i="2"/>
  <c r="AW56" i="2"/>
  <c r="AW48" i="2"/>
  <c r="AW40" i="2"/>
  <c r="AW39" i="2"/>
  <c r="AW38" i="2"/>
  <c r="AW31" i="2"/>
  <c r="AW23" i="2"/>
  <c r="AW14" i="2"/>
  <c r="AK140" i="2"/>
  <c r="AJ140" i="2"/>
  <c r="AL140" i="2"/>
  <c r="AM140" i="2"/>
  <c r="AN140" i="2"/>
  <c r="AO140" i="2"/>
  <c r="AP140" i="2"/>
  <c r="AQ140" i="2"/>
  <c r="AR140" i="2"/>
  <c r="AS140" i="2"/>
  <c r="AT140" i="2"/>
  <c r="AU140" i="2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D18" i="10"/>
  <c r="T140" i="2"/>
  <c r="AE107" i="2"/>
  <c r="AE107" i="11"/>
  <c r="AD107" i="2"/>
  <c r="AD107" i="11"/>
  <c r="AC107" i="2"/>
  <c r="AC107" i="11"/>
  <c r="AB107" i="2"/>
  <c r="AB107" i="11"/>
  <c r="AA107" i="2"/>
  <c r="AA107" i="11"/>
  <c r="Z107" i="2"/>
  <c r="Z107" i="11"/>
  <c r="Y107" i="2"/>
  <c r="Y107" i="11"/>
  <c r="X107" i="2"/>
  <c r="X107" i="11"/>
  <c r="W107" i="2"/>
  <c r="W107" i="11"/>
  <c r="V107" i="2"/>
  <c r="V107" i="11"/>
  <c r="AE106" i="2"/>
  <c r="AE106" i="11"/>
  <c r="AD106" i="2"/>
  <c r="AD106" i="11"/>
  <c r="AC106" i="2"/>
  <c r="AC106" i="11"/>
  <c r="AB106" i="2"/>
  <c r="AB106" i="11"/>
  <c r="AA106" i="2"/>
  <c r="AA106" i="11"/>
  <c r="Z106" i="2"/>
  <c r="Z106" i="11"/>
  <c r="Y106" i="2"/>
  <c r="Y106" i="11"/>
  <c r="X106" i="2"/>
  <c r="X106" i="11"/>
  <c r="W106" i="2"/>
  <c r="W106" i="11"/>
  <c r="V106" i="2"/>
  <c r="V106" i="11"/>
  <c r="AG75" i="2"/>
  <c r="AG67" i="2"/>
  <c r="AG56" i="2"/>
  <c r="AG48" i="2"/>
  <c r="AG40" i="2"/>
  <c r="AG39" i="2"/>
  <c r="AG38" i="2"/>
  <c r="AG31" i="2"/>
  <c r="AG23" i="2"/>
  <c r="AG14" i="2"/>
  <c r="O98" i="10"/>
  <c r="N98" i="10"/>
  <c r="M98" i="10"/>
  <c r="L98" i="10"/>
  <c r="K98" i="10"/>
  <c r="J98" i="10"/>
  <c r="I98" i="10"/>
  <c r="H98" i="10"/>
  <c r="G98" i="10"/>
  <c r="F98" i="10"/>
  <c r="E98" i="10"/>
  <c r="D98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E78" i="10"/>
  <c r="F78" i="10"/>
  <c r="G78" i="10"/>
  <c r="H78" i="10"/>
  <c r="I78" i="10"/>
  <c r="J78" i="10"/>
  <c r="K78" i="10"/>
  <c r="L78" i="10"/>
  <c r="M78" i="10"/>
  <c r="N78" i="10"/>
  <c r="O78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E63" i="10"/>
  <c r="F63" i="10"/>
  <c r="G63" i="10"/>
  <c r="H63" i="10"/>
  <c r="I63" i="10"/>
  <c r="J63" i="10"/>
  <c r="K63" i="10"/>
  <c r="L63" i="10"/>
  <c r="M63" i="10"/>
  <c r="N63" i="10"/>
  <c r="O63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K35" i="10"/>
  <c r="L35" i="10"/>
  <c r="M35" i="10"/>
  <c r="N35" i="10"/>
  <c r="O35" i="10"/>
  <c r="P35" i="10"/>
  <c r="K34" i="10"/>
  <c r="L34" i="10"/>
  <c r="M34" i="10"/>
  <c r="N34" i="10"/>
  <c r="O34" i="10"/>
  <c r="P34" i="10"/>
  <c r="O32" i="10"/>
  <c r="N32" i="10"/>
  <c r="M32" i="10"/>
  <c r="L32" i="10"/>
  <c r="K32" i="10"/>
  <c r="J32" i="10"/>
  <c r="I32" i="10"/>
  <c r="H32" i="10"/>
  <c r="P32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O25" i="10"/>
  <c r="N25" i="10"/>
  <c r="M25" i="10"/>
  <c r="L25" i="10"/>
  <c r="K25" i="10"/>
  <c r="J25" i="10"/>
  <c r="I25" i="10"/>
  <c r="H25" i="10"/>
  <c r="P25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O16" i="10"/>
  <c r="N16" i="10"/>
  <c r="M16" i="10"/>
  <c r="L16" i="10"/>
  <c r="K16" i="10"/>
  <c r="J16" i="10"/>
  <c r="I16" i="10"/>
  <c r="H16" i="10"/>
  <c r="P16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N140" i="2"/>
  <c r="M140" i="2"/>
  <c r="L140" i="2"/>
  <c r="K140" i="2"/>
  <c r="J140" i="2"/>
  <c r="I140" i="2"/>
  <c r="H140" i="2"/>
  <c r="G140" i="2"/>
  <c r="F140" i="2"/>
  <c r="E140" i="2"/>
  <c r="D140" i="2"/>
  <c r="E141" i="2"/>
  <c r="F141" i="2"/>
  <c r="G141" i="2"/>
  <c r="H141" i="2"/>
  <c r="I141" i="2"/>
  <c r="J141" i="2"/>
  <c r="K141" i="2"/>
  <c r="L141" i="2"/>
  <c r="M141" i="2"/>
  <c r="N141" i="2"/>
  <c r="O141" i="2"/>
  <c r="D141" i="2"/>
  <c r="D130" i="2"/>
  <c r="D119" i="2"/>
  <c r="E106" i="2"/>
  <c r="E106" i="11"/>
  <c r="F106" i="2"/>
  <c r="F106" i="11"/>
  <c r="G106" i="2"/>
  <c r="G106" i="11"/>
  <c r="H106" i="2"/>
  <c r="H106" i="11"/>
  <c r="I106" i="2"/>
  <c r="I106" i="11"/>
  <c r="J106" i="2"/>
  <c r="J106" i="11"/>
  <c r="K106" i="2"/>
  <c r="K106" i="11"/>
  <c r="L106" i="2"/>
  <c r="L106" i="11"/>
  <c r="M106" i="2"/>
  <c r="M106" i="11"/>
  <c r="N106" i="2"/>
  <c r="N106" i="11"/>
  <c r="O106" i="2"/>
  <c r="O106" i="11"/>
  <c r="E107" i="2"/>
  <c r="E107" i="11"/>
  <c r="F107" i="2"/>
  <c r="F107" i="11"/>
  <c r="G107" i="2"/>
  <c r="G107" i="11"/>
  <c r="H107" i="2"/>
  <c r="H107" i="11"/>
  <c r="I107" i="2"/>
  <c r="I107" i="11"/>
  <c r="J107" i="2"/>
  <c r="J107" i="11"/>
  <c r="K107" i="2"/>
  <c r="K107" i="11"/>
  <c r="L107" i="2"/>
  <c r="L107" i="11"/>
  <c r="M107" i="2"/>
  <c r="M107" i="11"/>
  <c r="N107" i="2"/>
  <c r="N107" i="11"/>
  <c r="O107" i="2"/>
  <c r="O107" i="11"/>
  <c r="D107" i="2"/>
  <c r="D107" i="11"/>
  <c r="D106" i="2"/>
  <c r="D106" i="11"/>
  <c r="V140" i="2"/>
  <c r="U140" i="2"/>
  <c r="E119" i="2"/>
  <c r="E130" i="2"/>
  <c r="F130" i="2"/>
  <c r="D94" i="2"/>
  <c r="D94" i="11"/>
  <c r="W140" i="2"/>
  <c r="F119" i="2"/>
  <c r="G130" i="2"/>
  <c r="E94" i="2"/>
  <c r="E94" i="11"/>
  <c r="G119" i="2"/>
  <c r="X140" i="2"/>
  <c r="H130" i="2"/>
  <c r="F94" i="2"/>
  <c r="F94" i="11"/>
  <c r="H119" i="2"/>
  <c r="G94" i="2"/>
  <c r="G94" i="11"/>
  <c r="Y140" i="2"/>
  <c r="I130" i="2"/>
  <c r="H94" i="2"/>
  <c r="H94" i="11"/>
  <c r="I119" i="2"/>
  <c r="Z140" i="2"/>
  <c r="J130" i="2"/>
  <c r="J119" i="2"/>
  <c r="I94" i="2"/>
  <c r="I94" i="11"/>
  <c r="AA140" i="2"/>
  <c r="K130" i="2"/>
  <c r="K119" i="2"/>
  <c r="J94" i="2"/>
  <c r="J94" i="11"/>
  <c r="AB140" i="2"/>
  <c r="L130" i="2"/>
  <c r="K94" i="2"/>
  <c r="K94" i="11"/>
  <c r="L119" i="2"/>
  <c r="AC140" i="2"/>
  <c r="M130" i="2"/>
  <c r="L94" i="2"/>
  <c r="L94" i="11"/>
  <c r="M119" i="2"/>
  <c r="AD140" i="2"/>
  <c r="N130" i="2"/>
  <c r="N119" i="2"/>
  <c r="M94" i="2"/>
  <c r="M94" i="11"/>
  <c r="O130" i="2"/>
  <c r="O119" i="2"/>
  <c r="N94" i="2"/>
  <c r="N94" i="11"/>
  <c r="T94" i="2"/>
  <c r="T94" i="11"/>
  <c r="O94" i="2"/>
  <c r="O94" i="11"/>
  <c r="C90" i="3"/>
  <c r="C94" i="11"/>
  <c r="U94" i="2"/>
  <c r="U94" i="11"/>
  <c r="V94" i="2"/>
  <c r="V94" i="11"/>
  <c r="W94" i="2"/>
  <c r="O98" i="4"/>
  <c r="N98" i="4"/>
  <c r="M98" i="4"/>
  <c r="L98" i="4"/>
  <c r="K98" i="4"/>
  <c r="J98" i="4"/>
  <c r="I98" i="4"/>
  <c r="H98" i="4"/>
  <c r="G98" i="4"/>
  <c r="F98" i="4"/>
  <c r="E98" i="4"/>
  <c r="D98" i="4"/>
  <c r="O96" i="4"/>
  <c r="N96" i="4"/>
  <c r="M96" i="4"/>
  <c r="L96" i="4"/>
  <c r="K96" i="4"/>
  <c r="J96" i="4"/>
  <c r="I96" i="4"/>
  <c r="H96" i="4"/>
  <c r="G96" i="4"/>
  <c r="F96" i="4"/>
  <c r="E96" i="4"/>
  <c r="D96" i="4"/>
  <c r="O92" i="4"/>
  <c r="N92" i="4"/>
  <c r="M92" i="4"/>
  <c r="L92" i="4"/>
  <c r="K92" i="4"/>
  <c r="J92" i="4"/>
  <c r="I92" i="4"/>
  <c r="H92" i="4"/>
  <c r="G92" i="4"/>
  <c r="F92" i="4"/>
  <c r="E92" i="4"/>
  <c r="D92" i="4"/>
  <c r="O90" i="4"/>
  <c r="N90" i="4"/>
  <c r="M90" i="4"/>
  <c r="L90" i="4"/>
  <c r="K90" i="4"/>
  <c r="J90" i="4"/>
  <c r="I90" i="4"/>
  <c r="H90" i="4"/>
  <c r="G90" i="4"/>
  <c r="F90" i="4"/>
  <c r="E90" i="4"/>
  <c r="D90" i="4"/>
  <c r="O89" i="4"/>
  <c r="N89" i="4"/>
  <c r="M89" i="4"/>
  <c r="L89" i="4"/>
  <c r="K89" i="4"/>
  <c r="J89" i="4"/>
  <c r="I89" i="4"/>
  <c r="H89" i="4"/>
  <c r="G89" i="4"/>
  <c r="F89" i="4"/>
  <c r="E89" i="4"/>
  <c r="D89" i="4"/>
  <c r="O87" i="4"/>
  <c r="N87" i="4"/>
  <c r="M87" i="4"/>
  <c r="L87" i="4"/>
  <c r="K87" i="4"/>
  <c r="J87" i="4"/>
  <c r="I87" i="4"/>
  <c r="H87" i="4"/>
  <c r="G87" i="4"/>
  <c r="F87" i="4"/>
  <c r="E87" i="4"/>
  <c r="D87" i="4"/>
  <c r="O86" i="4"/>
  <c r="N86" i="4"/>
  <c r="M86" i="4"/>
  <c r="L86" i="4"/>
  <c r="K86" i="4"/>
  <c r="J86" i="4"/>
  <c r="I86" i="4"/>
  <c r="H86" i="4"/>
  <c r="G86" i="4"/>
  <c r="F86" i="4"/>
  <c r="E86" i="4"/>
  <c r="D86" i="4"/>
  <c r="O84" i="4"/>
  <c r="N84" i="4"/>
  <c r="M84" i="4"/>
  <c r="L84" i="4"/>
  <c r="K84" i="4"/>
  <c r="J84" i="4"/>
  <c r="I84" i="4"/>
  <c r="H84" i="4"/>
  <c r="G84" i="4"/>
  <c r="F84" i="4"/>
  <c r="E84" i="4"/>
  <c r="D84" i="4"/>
  <c r="O83" i="4"/>
  <c r="N83" i="4"/>
  <c r="M83" i="4"/>
  <c r="L83" i="4"/>
  <c r="K83" i="4"/>
  <c r="J83" i="4"/>
  <c r="I83" i="4"/>
  <c r="H83" i="4"/>
  <c r="G83" i="4"/>
  <c r="F83" i="4"/>
  <c r="E83" i="4"/>
  <c r="D83" i="4"/>
  <c r="O82" i="4"/>
  <c r="N82" i="4"/>
  <c r="M82" i="4"/>
  <c r="L82" i="4"/>
  <c r="K82" i="4"/>
  <c r="J82" i="4"/>
  <c r="I82" i="4"/>
  <c r="H82" i="4"/>
  <c r="G82" i="4"/>
  <c r="F82" i="4"/>
  <c r="E82" i="4"/>
  <c r="D82" i="4"/>
  <c r="O81" i="4"/>
  <c r="N81" i="4"/>
  <c r="M81" i="4"/>
  <c r="L81" i="4"/>
  <c r="K81" i="4"/>
  <c r="J81" i="4"/>
  <c r="I81" i="4"/>
  <c r="H81" i="4"/>
  <c r="G81" i="4"/>
  <c r="F81" i="4"/>
  <c r="E81" i="4"/>
  <c r="D81" i="4"/>
  <c r="O80" i="4"/>
  <c r="N80" i="4"/>
  <c r="M80" i="4"/>
  <c r="L80" i="4"/>
  <c r="K80" i="4"/>
  <c r="J80" i="4"/>
  <c r="I80" i="4"/>
  <c r="H80" i="4"/>
  <c r="G80" i="4"/>
  <c r="F80" i="4"/>
  <c r="E80" i="4"/>
  <c r="D80" i="4"/>
  <c r="O79" i="4"/>
  <c r="N79" i="4"/>
  <c r="M79" i="4"/>
  <c r="L79" i="4"/>
  <c r="K79" i="4"/>
  <c r="J79" i="4"/>
  <c r="I79" i="4"/>
  <c r="H79" i="4"/>
  <c r="G79" i="4"/>
  <c r="F79" i="4"/>
  <c r="E79" i="4"/>
  <c r="D79" i="4"/>
  <c r="O77" i="4"/>
  <c r="N77" i="4"/>
  <c r="M77" i="4"/>
  <c r="L77" i="4"/>
  <c r="K77" i="4"/>
  <c r="J77" i="4"/>
  <c r="I77" i="4"/>
  <c r="H77" i="4"/>
  <c r="G77" i="4"/>
  <c r="F77" i="4"/>
  <c r="E77" i="4"/>
  <c r="D77" i="4"/>
  <c r="E76" i="4"/>
  <c r="F76" i="4"/>
  <c r="G76" i="4"/>
  <c r="H76" i="4"/>
  <c r="I76" i="4"/>
  <c r="J76" i="4"/>
  <c r="K76" i="4"/>
  <c r="L76" i="4"/>
  <c r="M76" i="4"/>
  <c r="N76" i="4"/>
  <c r="O76" i="4"/>
  <c r="D76" i="4"/>
  <c r="E97" i="4"/>
  <c r="F97" i="4"/>
  <c r="G97" i="4"/>
  <c r="H97" i="4"/>
  <c r="I97" i="4"/>
  <c r="J97" i="4"/>
  <c r="K97" i="4"/>
  <c r="L97" i="4"/>
  <c r="M97" i="4"/>
  <c r="N97" i="4"/>
  <c r="O97" i="4"/>
  <c r="P97" i="4"/>
  <c r="D97" i="4"/>
  <c r="E95" i="4"/>
  <c r="F95" i="4"/>
  <c r="G95" i="4"/>
  <c r="H95" i="4"/>
  <c r="I95" i="4"/>
  <c r="J95" i="4"/>
  <c r="K95" i="4"/>
  <c r="L95" i="4"/>
  <c r="M95" i="4"/>
  <c r="N95" i="4"/>
  <c r="O95" i="4"/>
  <c r="P95" i="4"/>
  <c r="D95" i="4"/>
  <c r="E78" i="4"/>
  <c r="F78" i="4"/>
  <c r="G78" i="4"/>
  <c r="H78" i="4"/>
  <c r="I78" i="4"/>
  <c r="J78" i="4"/>
  <c r="K78" i="4"/>
  <c r="L78" i="4"/>
  <c r="M78" i="4"/>
  <c r="N78" i="4"/>
  <c r="O78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E64" i="4"/>
  <c r="F64" i="4"/>
  <c r="G64" i="4"/>
  <c r="H64" i="4"/>
  <c r="I64" i="4"/>
  <c r="J64" i="4"/>
  <c r="K64" i="4"/>
  <c r="L64" i="4"/>
  <c r="M64" i="4"/>
  <c r="N64" i="4"/>
  <c r="O64" i="4"/>
  <c r="P64" i="4"/>
  <c r="D64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E57" i="4"/>
  <c r="F57" i="4"/>
  <c r="G57" i="4"/>
  <c r="H57" i="4"/>
  <c r="I57" i="4"/>
  <c r="J57" i="4"/>
  <c r="K57" i="4"/>
  <c r="L57" i="4"/>
  <c r="M57" i="4"/>
  <c r="N57" i="4"/>
  <c r="O57" i="4"/>
  <c r="P57" i="4"/>
  <c r="D57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E49" i="4"/>
  <c r="F49" i="4"/>
  <c r="G49" i="4"/>
  <c r="H49" i="4"/>
  <c r="I49" i="4"/>
  <c r="J49" i="4"/>
  <c r="K49" i="4"/>
  <c r="L49" i="4"/>
  <c r="M49" i="4"/>
  <c r="N49" i="4"/>
  <c r="O49" i="4"/>
  <c r="P49" i="4"/>
  <c r="D49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E42" i="4"/>
  <c r="F42" i="4"/>
  <c r="G42" i="4"/>
  <c r="H42" i="4"/>
  <c r="I42" i="4"/>
  <c r="J42" i="4"/>
  <c r="K42" i="4"/>
  <c r="L42" i="4"/>
  <c r="M42" i="4"/>
  <c r="N42" i="4"/>
  <c r="O42" i="4"/>
  <c r="P42" i="4"/>
  <c r="D42" i="4"/>
  <c r="E63" i="4"/>
  <c r="F63" i="4"/>
  <c r="G63" i="4"/>
  <c r="H63" i="4"/>
  <c r="I63" i="4"/>
  <c r="J63" i="4"/>
  <c r="K63" i="4"/>
  <c r="L63" i="4"/>
  <c r="M63" i="4"/>
  <c r="N63" i="4"/>
  <c r="O63" i="4"/>
  <c r="E62" i="4"/>
  <c r="F62" i="4"/>
  <c r="G62" i="4"/>
  <c r="H62" i="4"/>
  <c r="I62" i="4"/>
  <c r="J62" i="4"/>
  <c r="K62" i="4"/>
  <c r="L62" i="4"/>
  <c r="M62" i="4"/>
  <c r="N62" i="4"/>
  <c r="O62" i="4"/>
  <c r="P62" i="4"/>
  <c r="D62" i="4"/>
  <c r="E61" i="4"/>
  <c r="F61" i="4"/>
  <c r="G61" i="4"/>
  <c r="H61" i="4"/>
  <c r="I61" i="4"/>
  <c r="J61" i="4"/>
  <c r="K61" i="4"/>
  <c r="L61" i="4"/>
  <c r="M61" i="4"/>
  <c r="N61" i="4"/>
  <c r="O61" i="4"/>
  <c r="D61" i="4"/>
  <c r="K35" i="4"/>
  <c r="L35" i="4"/>
  <c r="M35" i="4"/>
  <c r="N35" i="4"/>
  <c r="O35" i="4"/>
  <c r="P35" i="4"/>
  <c r="K34" i="4"/>
  <c r="L34" i="4"/>
  <c r="M34" i="4"/>
  <c r="N34" i="4"/>
  <c r="O34" i="4"/>
  <c r="P34" i="4"/>
  <c r="O32" i="4"/>
  <c r="N32" i="4"/>
  <c r="M32" i="4"/>
  <c r="L32" i="4"/>
  <c r="K32" i="4"/>
  <c r="J32" i="4"/>
  <c r="I32" i="4"/>
  <c r="H32" i="4"/>
  <c r="P32" i="4"/>
  <c r="E29" i="4"/>
  <c r="F29" i="4"/>
  <c r="G29" i="4"/>
  <c r="H29" i="4"/>
  <c r="I29" i="4"/>
  <c r="J29" i="4"/>
  <c r="K29" i="4"/>
  <c r="L29" i="4"/>
  <c r="M29" i="4"/>
  <c r="N29" i="4"/>
  <c r="O29" i="4"/>
  <c r="P29" i="4"/>
  <c r="D29" i="4"/>
  <c r="E18" i="4"/>
  <c r="F18" i="4"/>
  <c r="G18" i="4"/>
  <c r="H18" i="4"/>
  <c r="I18" i="4"/>
  <c r="J18" i="4"/>
  <c r="K18" i="4"/>
  <c r="L18" i="4"/>
  <c r="M18" i="4"/>
  <c r="N18" i="4"/>
  <c r="O18" i="4"/>
  <c r="P18" i="4"/>
  <c r="E19" i="4"/>
  <c r="F19" i="4"/>
  <c r="G19" i="4"/>
  <c r="H19" i="4"/>
  <c r="I19" i="4"/>
  <c r="J19" i="4"/>
  <c r="K19" i="4"/>
  <c r="L19" i="4"/>
  <c r="M19" i="4"/>
  <c r="N19" i="4"/>
  <c r="O19" i="4"/>
  <c r="P19" i="4"/>
  <c r="D19" i="4"/>
  <c r="D18" i="4"/>
  <c r="E21" i="4"/>
  <c r="F21" i="4"/>
  <c r="G21" i="4"/>
  <c r="H21" i="4"/>
  <c r="I21" i="4"/>
  <c r="J21" i="4"/>
  <c r="K21" i="4"/>
  <c r="L21" i="4"/>
  <c r="M21" i="4"/>
  <c r="N21" i="4"/>
  <c r="O21" i="4"/>
  <c r="P21" i="4"/>
  <c r="D21" i="4"/>
  <c r="D24" i="5"/>
  <c r="E24" i="5"/>
  <c r="F24" i="5"/>
  <c r="G24" i="5"/>
  <c r="D25" i="5"/>
  <c r="E25" i="5"/>
  <c r="F25" i="5"/>
  <c r="G25" i="5"/>
  <c r="X94" i="2"/>
  <c r="X94" i="11"/>
  <c r="W94" i="11"/>
  <c r="O25" i="4"/>
  <c r="N25" i="4"/>
  <c r="M25" i="4"/>
  <c r="L25" i="4"/>
  <c r="K25" i="4"/>
  <c r="J25" i="4"/>
  <c r="I25" i="4"/>
  <c r="H25" i="4"/>
  <c r="P25" i="4"/>
  <c r="H16" i="4"/>
  <c r="I16" i="4"/>
  <c r="J16" i="4"/>
  <c r="K16" i="4"/>
  <c r="L16" i="4"/>
  <c r="M16" i="4"/>
  <c r="N16" i="4"/>
  <c r="O16" i="4"/>
  <c r="P16" i="4"/>
  <c r="E24" i="4"/>
  <c r="F24" i="4"/>
  <c r="G24" i="4"/>
  <c r="H24" i="4"/>
  <c r="I24" i="4"/>
  <c r="J24" i="4"/>
  <c r="K24" i="4"/>
  <c r="L24" i="4"/>
  <c r="M24" i="4"/>
  <c r="N24" i="4"/>
  <c r="O24" i="4"/>
  <c r="P24" i="4"/>
  <c r="D24" i="4"/>
  <c r="E15" i="4"/>
  <c r="F15" i="4"/>
  <c r="G15" i="4"/>
  <c r="H15" i="4"/>
  <c r="I15" i="4"/>
  <c r="J15" i="4"/>
  <c r="K15" i="4"/>
  <c r="L15" i="4"/>
  <c r="M15" i="4"/>
  <c r="N15" i="4"/>
  <c r="O15" i="4"/>
  <c r="P15" i="4"/>
  <c r="D15" i="4"/>
  <c r="Q14" i="2"/>
  <c r="Q23" i="2"/>
  <c r="Q31" i="2"/>
  <c r="Q38" i="2"/>
  <c r="Q39" i="2"/>
  <c r="Q40" i="2"/>
  <c r="Q48" i="2"/>
  <c r="Q56" i="2"/>
  <c r="Q67" i="2"/>
  <c r="Q75" i="2"/>
  <c r="C94" i="2"/>
  <c r="Q94" i="2"/>
  <c r="C26" i="2"/>
  <c r="Y94" i="2"/>
  <c r="Y94" i="11"/>
  <c r="G26" i="2"/>
  <c r="K26" i="2"/>
  <c r="O26" i="2"/>
  <c r="E26" i="2"/>
  <c r="M26" i="2"/>
  <c r="J26" i="2"/>
  <c r="H26" i="2"/>
  <c r="L26" i="2"/>
  <c r="P26" i="2"/>
  <c r="I26" i="2"/>
  <c r="D26" i="2"/>
  <c r="F26" i="2"/>
  <c r="N26" i="2"/>
  <c r="Z94" i="2"/>
  <c r="Z94" i="11"/>
  <c r="Q26" i="2"/>
  <c r="AA94" i="2"/>
  <c r="A1" i="2"/>
  <c r="AB94" i="2"/>
  <c r="AB94" i="11"/>
  <c r="AA94" i="11"/>
  <c r="C29" i="3"/>
  <c r="D29" i="3"/>
  <c r="E29" i="3"/>
  <c r="F29" i="3"/>
  <c r="G29" i="3"/>
  <c r="C30" i="3"/>
  <c r="D30" i="3"/>
  <c r="E30" i="3"/>
  <c r="F30" i="3"/>
  <c r="G30" i="3"/>
  <c r="C25" i="3"/>
  <c r="D25" i="3"/>
  <c r="E25" i="3"/>
  <c r="F25" i="3"/>
  <c r="G25" i="3"/>
  <c r="C17" i="3"/>
  <c r="D17" i="3"/>
  <c r="E17" i="3"/>
  <c r="F17" i="3"/>
  <c r="G17" i="3"/>
  <c r="C87" i="3"/>
  <c r="B23" i="7"/>
  <c r="B72" i="6"/>
  <c r="B19" i="7"/>
  <c r="B71" i="6"/>
  <c r="B63" i="6"/>
  <c r="B62" i="6"/>
  <c r="B57" i="6"/>
  <c r="B56" i="6"/>
  <c r="C50" i="6"/>
  <c r="B50" i="6"/>
  <c r="C49" i="6"/>
  <c r="B49" i="6"/>
  <c r="C44" i="6"/>
  <c r="B44" i="6"/>
  <c r="C43" i="6"/>
  <c r="B43" i="6"/>
  <c r="C23" i="7"/>
  <c r="C30" i="6"/>
  <c r="B30" i="6"/>
  <c r="C19" i="7"/>
  <c r="C29" i="6"/>
  <c r="B29" i="6"/>
  <c r="C22" i="6"/>
  <c r="B22" i="6"/>
  <c r="C53" i="7"/>
  <c r="B53" i="7"/>
  <c r="B36" i="6"/>
  <c r="C14" i="6"/>
  <c r="B14" i="6"/>
  <c r="C78" i="3"/>
  <c r="C77" i="3"/>
  <c r="F143" i="7"/>
  <c r="F137" i="7"/>
  <c r="F138" i="7"/>
  <c r="F139" i="7"/>
  <c r="F141" i="7"/>
  <c r="C72" i="3"/>
  <c r="F136" i="7"/>
  <c r="G136" i="7"/>
  <c r="H136" i="7"/>
  <c r="I136" i="7"/>
  <c r="J136" i="7"/>
  <c r="F159" i="7"/>
  <c r="C76" i="3"/>
  <c r="F160" i="7"/>
  <c r="C80" i="3"/>
  <c r="F161" i="7"/>
  <c r="C92" i="3"/>
  <c r="F158" i="7"/>
  <c r="C75" i="3"/>
  <c r="F103" i="7"/>
  <c r="G103" i="7"/>
  <c r="H103" i="7"/>
  <c r="I103" i="7"/>
  <c r="J103" i="7"/>
  <c r="C103" i="7"/>
  <c r="C104" i="7"/>
  <c r="C72" i="6"/>
  <c r="C84" i="2"/>
  <c r="C84" i="11"/>
  <c r="C80" i="2"/>
  <c r="C80" i="11"/>
  <c r="C79" i="2"/>
  <c r="E79" i="2"/>
  <c r="C79" i="11"/>
  <c r="C96" i="2"/>
  <c r="C96" i="11"/>
  <c r="AC94" i="2"/>
  <c r="C76" i="2"/>
  <c r="N76" i="2"/>
  <c r="C76" i="11"/>
  <c r="G139" i="7"/>
  <c r="H139" i="7"/>
  <c r="I139" i="7"/>
  <c r="J139" i="7"/>
  <c r="C93" i="2"/>
  <c r="F93" i="2"/>
  <c r="C93" i="11"/>
  <c r="G138" i="7"/>
  <c r="H138" i="7"/>
  <c r="I138" i="7"/>
  <c r="J138" i="7"/>
  <c r="G141" i="7"/>
  <c r="H141" i="7"/>
  <c r="I141" i="7"/>
  <c r="J141" i="7"/>
  <c r="G137" i="7"/>
  <c r="H137" i="7"/>
  <c r="I137" i="7"/>
  <c r="J137" i="7"/>
  <c r="G143" i="7"/>
  <c r="H143" i="7"/>
  <c r="I143" i="7"/>
  <c r="J143" i="7"/>
  <c r="C81" i="2"/>
  <c r="D81" i="2"/>
  <c r="C81" i="11"/>
  <c r="C82" i="2"/>
  <c r="C82" i="11"/>
  <c r="AI93" i="11"/>
  <c r="AI93" i="2"/>
  <c r="S93" i="11"/>
  <c r="S93" i="2"/>
  <c r="AI76" i="11"/>
  <c r="AI76" i="2"/>
  <c r="S76" i="11"/>
  <c r="S76" i="2"/>
  <c r="C81" i="3"/>
  <c r="C91" i="2"/>
  <c r="I91" i="2"/>
  <c r="C91" i="11"/>
  <c r="AI35" i="11"/>
  <c r="AI35" i="2"/>
  <c r="S29" i="11"/>
  <c r="S29" i="2"/>
  <c r="C34" i="2"/>
  <c r="H34" i="2"/>
  <c r="C34" i="11"/>
  <c r="S33" i="11"/>
  <c r="S33" i="2"/>
  <c r="AI21" i="11"/>
  <c r="AI21" i="2"/>
  <c r="C33" i="2"/>
  <c r="G33" i="2"/>
  <c r="C33" i="11"/>
  <c r="S21" i="11"/>
  <c r="S21" i="2"/>
  <c r="AI34" i="11"/>
  <c r="AI34" i="2"/>
  <c r="S35" i="11"/>
  <c r="S35" i="2"/>
  <c r="C29" i="2"/>
  <c r="W29" i="2"/>
  <c r="C29" i="11"/>
  <c r="C21" i="2"/>
  <c r="C21" i="11"/>
  <c r="AI29" i="11"/>
  <c r="AI29" i="2"/>
  <c r="S34" i="11"/>
  <c r="S34" i="2"/>
  <c r="AI33" i="11"/>
  <c r="AI33" i="2"/>
  <c r="C35" i="2"/>
  <c r="C35" i="11"/>
  <c r="X29" i="2"/>
  <c r="V29" i="2"/>
  <c r="L96" i="2"/>
  <c r="M96" i="2"/>
  <c r="F96" i="2"/>
  <c r="E96" i="2"/>
  <c r="J96" i="2"/>
  <c r="G96" i="2"/>
  <c r="I96" i="2"/>
  <c r="O96" i="2"/>
  <c r="P96" i="2"/>
  <c r="D96" i="2"/>
  <c r="N96" i="2"/>
  <c r="H96" i="2"/>
  <c r="K96" i="2"/>
  <c r="M80" i="2"/>
  <c r="G80" i="2"/>
  <c r="K80" i="2"/>
  <c r="E80" i="2"/>
  <c r="J80" i="2"/>
  <c r="H80" i="2"/>
  <c r="D80" i="2"/>
  <c r="I80" i="2"/>
  <c r="P80" i="2"/>
  <c r="O80" i="2"/>
  <c r="F80" i="2"/>
  <c r="L80" i="2"/>
  <c r="N80" i="2"/>
  <c r="F91" i="2"/>
  <c r="H91" i="2"/>
  <c r="K79" i="2"/>
  <c r="D79" i="2"/>
  <c r="M79" i="2"/>
  <c r="B169" i="7"/>
  <c r="C49" i="3"/>
  <c r="F84" i="2"/>
  <c r="D84" i="2"/>
  <c r="H84" i="2"/>
  <c r="I84" i="2"/>
  <c r="N84" i="2"/>
  <c r="G84" i="2"/>
  <c r="K84" i="2"/>
  <c r="E84" i="2"/>
  <c r="L84" i="2"/>
  <c r="P84" i="2"/>
  <c r="M84" i="2"/>
  <c r="O84" i="2"/>
  <c r="J84" i="2"/>
  <c r="N81" i="2"/>
  <c r="H81" i="2"/>
  <c r="D82" i="2"/>
  <c r="E82" i="2"/>
  <c r="I82" i="2"/>
  <c r="K82" i="2"/>
  <c r="L82" i="2"/>
  <c r="F82" i="2"/>
  <c r="G82" i="2"/>
  <c r="M82" i="2"/>
  <c r="P82" i="2"/>
  <c r="O82" i="2"/>
  <c r="N82" i="2"/>
  <c r="H82" i="2"/>
  <c r="J82" i="2"/>
  <c r="N34" i="2"/>
  <c r="G34" i="2"/>
  <c r="L34" i="2"/>
  <c r="D29" i="2"/>
  <c r="G29" i="2"/>
  <c r="K33" i="2"/>
  <c r="O33" i="2"/>
  <c r="E33" i="2"/>
  <c r="F33" i="2"/>
  <c r="N33" i="2"/>
  <c r="D33" i="2"/>
  <c r="L33" i="2"/>
  <c r="P33" i="2"/>
  <c r="I33" i="2"/>
  <c r="F21" i="2"/>
  <c r="J21" i="2"/>
  <c r="N21" i="2"/>
  <c r="H21" i="2"/>
  <c r="P21" i="2"/>
  <c r="E21" i="2"/>
  <c r="M21" i="2"/>
  <c r="G21" i="2"/>
  <c r="K21" i="2"/>
  <c r="O21" i="2"/>
  <c r="L21" i="2"/>
  <c r="I21" i="2"/>
  <c r="D21" i="2"/>
  <c r="E35" i="2"/>
  <c r="I35" i="2"/>
  <c r="M35" i="2"/>
  <c r="K35" i="2"/>
  <c r="D35" i="2"/>
  <c r="L35" i="2"/>
  <c r="P35" i="2"/>
  <c r="F35" i="2"/>
  <c r="J35" i="2"/>
  <c r="N35" i="2"/>
  <c r="G35" i="2"/>
  <c r="O35" i="2"/>
  <c r="H35" i="2"/>
  <c r="C41" i="3"/>
  <c r="C79" i="3"/>
  <c r="C68" i="3"/>
  <c r="D72" i="5"/>
  <c r="E72" i="5"/>
  <c r="F72" i="5"/>
  <c r="G72" i="5"/>
  <c r="D73" i="5"/>
  <c r="D71" i="5"/>
  <c r="D46" i="1"/>
  <c r="C16" i="3"/>
  <c r="D16" i="3"/>
  <c r="E16" i="3"/>
  <c r="F16" i="3"/>
  <c r="G16" i="3"/>
  <c r="A1" i="3"/>
  <c r="B27" i="7"/>
  <c r="B73" i="6"/>
  <c r="B15" i="7"/>
  <c r="B70" i="6"/>
  <c r="B69" i="6"/>
  <c r="B9" i="7"/>
  <c r="B68" i="6"/>
  <c r="O79" i="2"/>
  <c r="J79" i="2"/>
  <c r="N79" i="2"/>
  <c r="F79" i="2"/>
  <c r="P79" i="2"/>
  <c r="L79" i="2"/>
  <c r="I79" i="2"/>
  <c r="G79" i="2"/>
  <c r="H79" i="2"/>
  <c r="H29" i="2"/>
  <c r="F29" i="2"/>
  <c r="Z29" i="2"/>
  <c r="E29" i="2"/>
  <c r="I29" i="2"/>
  <c r="J29" i="2"/>
  <c r="U29" i="2"/>
  <c r="AA29" i="2"/>
  <c r="Y29" i="2"/>
  <c r="T29" i="2"/>
  <c r="AD29" i="2"/>
  <c r="D34" i="2"/>
  <c r="I34" i="2"/>
  <c r="E34" i="2"/>
  <c r="F34" i="2"/>
  <c r="J34" i="2"/>
  <c r="K34" i="2"/>
  <c r="M34" i="2"/>
  <c r="O34" i="2"/>
  <c r="P34" i="2"/>
  <c r="Q34" i="2"/>
  <c r="J33" i="2"/>
  <c r="H33" i="2"/>
  <c r="M33" i="2"/>
  <c r="Q33" i="2"/>
  <c r="AI92" i="11"/>
  <c r="S87" i="11"/>
  <c r="AI88" i="11"/>
  <c r="E91" i="2"/>
  <c r="P91" i="2"/>
  <c r="M91" i="2"/>
  <c r="L91" i="2"/>
  <c r="D91" i="2"/>
  <c r="G91" i="2"/>
  <c r="N91" i="2"/>
  <c r="K91" i="2"/>
  <c r="J91" i="2"/>
  <c r="O91" i="2"/>
  <c r="O81" i="2"/>
  <c r="AI86" i="2"/>
  <c r="S92" i="2"/>
  <c r="G81" i="2"/>
  <c r="K81" i="2"/>
  <c r="M81" i="2"/>
  <c r="D76" i="2"/>
  <c r="M93" i="2"/>
  <c r="P81" i="2"/>
  <c r="J81" i="2"/>
  <c r="E81" i="2"/>
  <c r="L81" i="2"/>
  <c r="J76" i="2"/>
  <c r="F81" i="2"/>
  <c r="I81" i="2"/>
  <c r="AI98" i="11"/>
  <c r="I76" i="2"/>
  <c r="F76" i="2"/>
  <c r="S83" i="11"/>
  <c r="S83" i="2"/>
  <c r="S98" i="2"/>
  <c r="AC98" i="2"/>
  <c r="M96" i="11"/>
  <c r="E96" i="11"/>
  <c r="P96" i="11"/>
  <c r="K96" i="11"/>
  <c r="D96" i="11"/>
  <c r="I96" i="11"/>
  <c r="G96" i="11"/>
  <c r="N96" i="11"/>
  <c r="L96" i="11"/>
  <c r="O96" i="11"/>
  <c r="J96" i="11"/>
  <c r="H96" i="11"/>
  <c r="F96" i="11"/>
  <c r="C83" i="2"/>
  <c r="O83" i="2"/>
  <c r="C83" i="11"/>
  <c r="O76" i="2"/>
  <c r="O93" i="2"/>
  <c r="AI83" i="11"/>
  <c r="AI83" i="2"/>
  <c r="P79" i="11"/>
  <c r="K79" i="11"/>
  <c r="H79" i="11"/>
  <c r="O79" i="11"/>
  <c r="I79" i="11"/>
  <c r="G79" i="11"/>
  <c r="N79" i="11"/>
  <c r="M79" i="11"/>
  <c r="E79" i="11"/>
  <c r="L79" i="11"/>
  <c r="J79" i="11"/>
  <c r="D79" i="11"/>
  <c r="F79" i="11"/>
  <c r="O84" i="11"/>
  <c r="N84" i="11"/>
  <c r="H84" i="11"/>
  <c r="L84" i="11"/>
  <c r="D84" i="11"/>
  <c r="F84" i="11"/>
  <c r="J84" i="11"/>
  <c r="M84" i="11"/>
  <c r="K84" i="11"/>
  <c r="P84" i="11"/>
  <c r="I84" i="11"/>
  <c r="G84" i="11"/>
  <c r="E84" i="11"/>
  <c r="N80" i="11"/>
  <c r="J80" i="11"/>
  <c r="D80" i="11"/>
  <c r="P80" i="11"/>
  <c r="H80" i="11"/>
  <c r="F80" i="11"/>
  <c r="L80" i="11"/>
  <c r="M80" i="11"/>
  <c r="O80" i="11"/>
  <c r="K80" i="11"/>
  <c r="E80" i="11"/>
  <c r="G80" i="11"/>
  <c r="I80" i="11"/>
  <c r="M76" i="2"/>
  <c r="K76" i="2"/>
  <c r="K93" i="2"/>
  <c r="AD94" i="2"/>
  <c r="AD94" i="11"/>
  <c r="AC94" i="11"/>
  <c r="D169" i="7"/>
  <c r="C53" i="2"/>
  <c r="K53" i="2"/>
  <c r="C53" i="11"/>
  <c r="N93" i="2"/>
  <c r="E76" i="2"/>
  <c r="P76" i="2"/>
  <c r="G76" i="2"/>
  <c r="P93" i="2"/>
  <c r="L93" i="2"/>
  <c r="J93" i="2"/>
  <c r="E93" i="2"/>
  <c r="G93" i="2"/>
  <c r="I93" i="2"/>
  <c r="L76" i="2"/>
  <c r="H76" i="2"/>
  <c r="H93" i="2"/>
  <c r="D93" i="2"/>
  <c r="AI72" i="11"/>
  <c r="AI72" i="2"/>
  <c r="C87" i="2"/>
  <c r="F87" i="2"/>
  <c r="C87" i="11"/>
  <c r="C98" i="2"/>
  <c r="H98" i="2"/>
  <c r="C98" i="11"/>
  <c r="I76" i="11"/>
  <c r="J76" i="11"/>
  <c r="K76" i="11"/>
  <c r="H76" i="11"/>
  <c r="E76" i="11"/>
  <c r="O76" i="11"/>
  <c r="L76" i="11"/>
  <c r="N76" i="11"/>
  <c r="P76" i="11"/>
  <c r="M76" i="11"/>
  <c r="G76" i="11"/>
  <c r="F76" i="11"/>
  <c r="D76" i="11"/>
  <c r="S71" i="11"/>
  <c r="S71" i="2"/>
  <c r="C92" i="2"/>
  <c r="F92" i="2"/>
  <c r="C92" i="11"/>
  <c r="S72" i="11"/>
  <c r="S72" i="2"/>
  <c r="AI71" i="11"/>
  <c r="AI71" i="2"/>
  <c r="C72" i="2"/>
  <c r="M72" i="2"/>
  <c r="C72" i="11"/>
  <c r="C86" i="2"/>
  <c r="O86" i="2"/>
  <c r="C86" i="11"/>
  <c r="C88" i="2"/>
  <c r="F88" i="2"/>
  <c r="C88" i="11"/>
  <c r="C71" i="2"/>
  <c r="J71" i="2"/>
  <c r="C71" i="11"/>
  <c r="O93" i="11"/>
  <c r="I93" i="11"/>
  <c r="P93" i="11"/>
  <c r="K93" i="11"/>
  <c r="E93" i="11"/>
  <c r="G93" i="11"/>
  <c r="N93" i="11"/>
  <c r="L93" i="11"/>
  <c r="M93" i="11"/>
  <c r="J93" i="11"/>
  <c r="H93" i="11"/>
  <c r="D93" i="11"/>
  <c r="F93" i="11"/>
  <c r="O82" i="11"/>
  <c r="N82" i="11"/>
  <c r="E82" i="11"/>
  <c r="D82" i="11"/>
  <c r="K82" i="11"/>
  <c r="F82" i="11"/>
  <c r="L82" i="11"/>
  <c r="I82" i="11"/>
  <c r="H82" i="11"/>
  <c r="J82" i="11"/>
  <c r="P82" i="11"/>
  <c r="M82" i="11"/>
  <c r="G82" i="11"/>
  <c r="I81" i="11"/>
  <c r="J81" i="11"/>
  <c r="H81" i="11"/>
  <c r="M81" i="11"/>
  <c r="O81" i="11"/>
  <c r="F81" i="11"/>
  <c r="D81" i="11"/>
  <c r="L81" i="11"/>
  <c r="G81" i="11"/>
  <c r="P81" i="11"/>
  <c r="K81" i="11"/>
  <c r="E81" i="11"/>
  <c r="N81" i="11"/>
  <c r="AM93" i="2"/>
  <c r="AT93" i="2"/>
  <c r="AS93" i="2"/>
  <c r="AR93" i="2"/>
  <c r="AQ93" i="2"/>
  <c r="AL93" i="2"/>
  <c r="AV93" i="2"/>
  <c r="AU93" i="2"/>
  <c r="AP93" i="2"/>
  <c r="AO93" i="2"/>
  <c r="AN93" i="2"/>
  <c r="AK93" i="2"/>
  <c r="AJ93" i="2"/>
  <c r="AU93" i="11"/>
  <c r="AM93" i="11"/>
  <c r="AR93" i="11"/>
  <c r="AP93" i="11"/>
  <c r="AK93" i="11"/>
  <c r="AO93" i="11"/>
  <c r="AN93" i="11"/>
  <c r="AL93" i="11"/>
  <c r="AS93" i="11"/>
  <c r="AV93" i="11"/>
  <c r="AJ93" i="11"/>
  <c r="AQ93" i="11"/>
  <c r="AT93" i="11"/>
  <c r="S88" i="11"/>
  <c r="S88" i="2"/>
  <c r="W93" i="2"/>
  <c r="X93" i="2"/>
  <c r="V93" i="2"/>
  <c r="AD93" i="2"/>
  <c r="AA93" i="2"/>
  <c r="AF93" i="2"/>
  <c r="U93" i="2"/>
  <c r="AE93" i="2"/>
  <c r="Z93" i="2"/>
  <c r="AB93" i="2"/>
  <c r="Y93" i="2"/>
  <c r="AC93" i="2"/>
  <c r="T93" i="2"/>
  <c r="AF92" i="2"/>
  <c r="AC92" i="2"/>
  <c r="W92" i="2"/>
  <c r="T92" i="2"/>
  <c r="Y92" i="2"/>
  <c r="V92" i="2"/>
  <c r="AE92" i="2"/>
  <c r="X92" i="2"/>
  <c r="AA92" i="2"/>
  <c r="Z92" i="2"/>
  <c r="U92" i="2"/>
  <c r="AD92" i="2"/>
  <c r="AB92" i="2"/>
  <c r="AE93" i="11"/>
  <c r="AB93" i="11"/>
  <c r="T93" i="11"/>
  <c r="AF93" i="11"/>
  <c r="AC93" i="11"/>
  <c r="U93" i="11"/>
  <c r="V93" i="11"/>
  <c r="Z93" i="11"/>
  <c r="W93" i="11"/>
  <c r="AD93" i="11"/>
  <c r="AA93" i="11"/>
  <c r="X93" i="11"/>
  <c r="Y93" i="11"/>
  <c r="AT76" i="2"/>
  <c r="AV76" i="2"/>
  <c r="AK76" i="2"/>
  <c r="AP76" i="2"/>
  <c r="AU76" i="2"/>
  <c r="AM76" i="2"/>
  <c r="AJ76" i="2"/>
  <c r="AO76" i="2"/>
  <c r="AQ76" i="2"/>
  <c r="AN76" i="2"/>
  <c r="AS76" i="2"/>
  <c r="AR76" i="2"/>
  <c r="AL76" i="2"/>
  <c r="AQ76" i="11"/>
  <c r="AT76" i="11"/>
  <c r="AO76" i="11"/>
  <c r="AN76" i="11"/>
  <c r="AU76" i="11"/>
  <c r="AP76" i="11"/>
  <c r="AK76" i="11"/>
  <c r="AJ76" i="11"/>
  <c r="AL76" i="11"/>
  <c r="AV76" i="11"/>
  <c r="AM76" i="11"/>
  <c r="AS76" i="11"/>
  <c r="AR76" i="11"/>
  <c r="X76" i="11"/>
  <c r="W76" i="11"/>
  <c r="AC76" i="11"/>
  <c r="AB76" i="11"/>
  <c r="AF76" i="11"/>
  <c r="AA76" i="11"/>
  <c r="Y76" i="11"/>
  <c r="T76" i="11"/>
  <c r="V76" i="11"/>
  <c r="AD76" i="11"/>
  <c r="AE76" i="11"/>
  <c r="U76" i="11"/>
  <c r="Z76" i="11"/>
  <c r="AE76" i="2"/>
  <c r="AF76" i="2"/>
  <c r="AC76" i="2"/>
  <c r="AA76" i="2"/>
  <c r="Y76" i="2"/>
  <c r="AB76" i="2"/>
  <c r="V76" i="2"/>
  <c r="T76" i="2"/>
  <c r="W76" i="2"/>
  <c r="AD76" i="2"/>
  <c r="U76" i="2"/>
  <c r="Z76" i="2"/>
  <c r="X76" i="2"/>
  <c r="AI85" i="11"/>
  <c r="AI85" i="2"/>
  <c r="C85" i="2"/>
  <c r="C85" i="11"/>
  <c r="S85" i="11"/>
  <c r="S85" i="2"/>
  <c r="P91" i="11"/>
  <c r="J91" i="11"/>
  <c r="O91" i="11"/>
  <c r="N91" i="11"/>
  <c r="D91" i="11"/>
  <c r="E91" i="11"/>
  <c r="I91" i="11"/>
  <c r="M91" i="11"/>
  <c r="G91" i="11"/>
  <c r="H91" i="11"/>
  <c r="F91" i="11"/>
  <c r="K91" i="11"/>
  <c r="L91" i="11"/>
  <c r="C45" i="2"/>
  <c r="C45" i="11"/>
  <c r="AM33" i="2"/>
  <c r="AS33" i="2"/>
  <c r="AJ33" i="2"/>
  <c r="AP33" i="2"/>
  <c r="AO33" i="2"/>
  <c r="AV33" i="2"/>
  <c r="AT33" i="2"/>
  <c r="AU33" i="2"/>
  <c r="AL33" i="2"/>
  <c r="AN33" i="2"/>
  <c r="AK33" i="2"/>
  <c r="AR33" i="2"/>
  <c r="AQ33" i="2"/>
  <c r="AL34" i="2"/>
  <c r="AO34" i="2"/>
  <c r="AV34" i="2"/>
  <c r="AM34" i="2"/>
  <c r="AP34" i="2"/>
  <c r="AK34" i="2"/>
  <c r="AQ34" i="2"/>
  <c r="AT34" i="2"/>
  <c r="AS34" i="2"/>
  <c r="AR34" i="2"/>
  <c r="AN34" i="2"/>
  <c r="AU34" i="2"/>
  <c r="AJ34" i="2"/>
  <c r="AN29" i="2"/>
  <c r="AQ29" i="2"/>
  <c r="AJ29" i="2"/>
  <c r="AM29" i="2"/>
  <c r="AO29" i="2"/>
  <c r="AL29" i="2"/>
  <c r="AP29" i="2"/>
  <c r="AK29" i="2"/>
  <c r="AV33" i="11"/>
  <c r="AK33" i="11"/>
  <c r="AS33" i="11"/>
  <c r="AP33" i="11"/>
  <c r="AQ33" i="11"/>
  <c r="AO33" i="11"/>
  <c r="AT33" i="11"/>
  <c r="AL33" i="11"/>
  <c r="AR33" i="11"/>
  <c r="AM33" i="11"/>
  <c r="AJ33" i="11"/>
  <c r="AU33" i="11"/>
  <c r="AN33" i="11"/>
  <c r="AU34" i="11"/>
  <c r="AJ34" i="11"/>
  <c r="AL34" i="11"/>
  <c r="AT34" i="11"/>
  <c r="AK34" i="11"/>
  <c r="AR34" i="11"/>
  <c r="AN34" i="11"/>
  <c r="AS34" i="11"/>
  <c r="AQ34" i="11"/>
  <c r="AV34" i="11"/>
  <c r="AM34" i="11"/>
  <c r="AP34" i="11"/>
  <c r="AO34" i="11"/>
  <c r="AE33" i="11"/>
  <c r="X33" i="11"/>
  <c r="V33" i="11"/>
  <c r="U33" i="11"/>
  <c r="AA33" i="11"/>
  <c r="T33" i="11"/>
  <c r="AD33" i="11"/>
  <c r="Z33" i="11"/>
  <c r="AC33" i="11"/>
  <c r="W33" i="11"/>
  <c r="AB33" i="11"/>
  <c r="AF33" i="11"/>
  <c r="Y33" i="11"/>
  <c r="AP29" i="11"/>
  <c r="AK29" i="11"/>
  <c r="AM29" i="11"/>
  <c r="AJ29" i="11"/>
  <c r="AL29" i="11"/>
  <c r="AO29" i="11"/>
  <c r="AQ29" i="11"/>
  <c r="AN29" i="11"/>
  <c r="Y29" i="11"/>
  <c r="W29" i="11"/>
  <c r="U29" i="11"/>
  <c r="Z29" i="11"/>
  <c r="V29" i="11"/>
  <c r="E29" i="11"/>
  <c r="I29" i="11"/>
  <c r="T29" i="11"/>
  <c r="AA29" i="11"/>
  <c r="F29" i="11"/>
  <c r="H29" i="11"/>
  <c r="G29" i="11"/>
  <c r="X29" i="11"/>
  <c r="D29" i="11"/>
  <c r="AF33" i="2"/>
  <c r="AC33" i="2"/>
  <c r="AD33" i="2"/>
  <c r="AB33" i="2"/>
  <c r="T33" i="2"/>
  <c r="AE33" i="2"/>
  <c r="W33" i="2"/>
  <c r="AA33" i="2"/>
  <c r="Y33" i="2"/>
  <c r="X33" i="2"/>
  <c r="U33" i="2"/>
  <c r="V33" i="2"/>
  <c r="Z33" i="2"/>
  <c r="AI20" i="11"/>
  <c r="AI20" i="2"/>
  <c r="P35" i="11"/>
  <c r="M35" i="11"/>
  <c r="J35" i="11"/>
  <c r="O35" i="11"/>
  <c r="E35" i="11"/>
  <c r="N35" i="11"/>
  <c r="K35" i="11"/>
  <c r="G35" i="11"/>
  <c r="L35" i="11"/>
  <c r="D35" i="11"/>
  <c r="F35" i="11"/>
  <c r="I35" i="11"/>
  <c r="H35" i="11"/>
  <c r="AE34" i="2"/>
  <c r="AF34" i="2"/>
  <c r="AC34" i="2"/>
  <c r="Y34" i="2"/>
  <c r="T34" i="2"/>
  <c r="U34" i="2"/>
  <c r="V34" i="2"/>
  <c r="W34" i="2"/>
  <c r="X34" i="2"/>
  <c r="Z34" i="2"/>
  <c r="AA34" i="2"/>
  <c r="AB34" i="2"/>
  <c r="AD34" i="2"/>
  <c r="AG34" i="2"/>
  <c r="K21" i="11"/>
  <c r="F21" i="11"/>
  <c r="P21" i="11"/>
  <c r="M21" i="11"/>
  <c r="L21" i="11"/>
  <c r="G21" i="11"/>
  <c r="N21" i="11"/>
  <c r="I21" i="11"/>
  <c r="H21" i="11"/>
  <c r="O21" i="11"/>
  <c r="D21" i="11"/>
  <c r="E21" i="11"/>
  <c r="J21" i="11"/>
  <c r="V35" i="2"/>
  <c r="W35" i="2"/>
  <c r="AC35" i="2"/>
  <c r="AF35" i="2"/>
  <c r="Y35" i="2"/>
  <c r="Z35" i="2"/>
  <c r="AA35" i="2"/>
  <c r="T35" i="2"/>
  <c r="AB35" i="2"/>
  <c r="AD35" i="2"/>
  <c r="AE35" i="2"/>
  <c r="X35" i="2"/>
  <c r="U35" i="2"/>
  <c r="AA21" i="2"/>
  <c r="AB21" i="2"/>
  <c r="W21" i="2"/>
  <c r="U21" i="2"/>
  <c r="AC21" i="2"/>
  <c r="AD21" i="2"/>
  <c r="X21" i="2"/>
  <c r="Z21" i="2"/>
  <c r="AE21" i="2"/>
  <c r="Y21" i="2"/>
  <c r="V21" i="2"/>
  <c r="T21" i="2"/>
  <c r="AF21" i="2"/>
  <c r="AL21" i="2"/>
  <c r="AQ21" i="2"/>
  <c r="AJ21" i="2"/>
  <c r="AP21" i="2"/>
  <c r="AU21" i="2"/>
  <c r="AS21" i="2"/>
  <c r="AM21" i="2"/>
  <c r="AO21" i="2"/>
  <c r="AN21" i="2"/>
  <c r="AV21" i="2"/>
  <c r="AK21" i="2"/>
  <c r="AR21" i="2"/>
  <c r="AT21" i="2"/>
  <c r="J34" i="11"/>
  <c r="D34" i="11"/>
  <c r="H34" i="11"/>
  <c r="P34" i="11"/>
  <c r="N34" i="11"/>
  <c r="O34" i="11"/>
  <c r="L34" i="11"/>
  <c r="G34" i="11"/>
  <c r="E34" i="11"/>
  <c r="K34" i="11"/>
  <c r="I34" i="11"/>
  <c r="F34" i="11"/>
  <c r="M34" i="11"/>
  <c r="AK35" i="2"/>
  <c r="AV35" i="2"/>
  <c r="AP35" i="2"/>
  <c r="AM35" i="2"/>
  <c r="AU35" i="2"/>
  <c r="AL35" i="2"/>
  <c r="AS35" i="2"/>
  <c r="AR35" i="2"/>
  <c r="AN35" i="2"/>
  <c r="AQ35" i="2"/>
  <c r="AO35" i="2"/>
  <c r="AJ35" i="2"/>
  <c r="AT35" i="2"/>
  <c r="C20" i="2"/>
  <c r="C20" i="11"/>
  <c r="O33" i="11"/>
  <c r="N33" i="11"/>
  <c r="I33" i="11"/>
  <c r="H33" i="11"/>
  <c r="J33" i="11"/>
  <c r="E33" i="11"/>
  <c r="D33" i="11"/>
  <c r="G33" i="11"/>
  <c r="F33" i="11"/>
  <c r="P33" i="11"/>
  <c r="L33" i="11"/>
  <c r="K33" i="11"/>
  <c r="M33" i="11"/>
  <c r="S20" i="11"/>
  <c r="S20" i="2"/>
  <c r="AA34" i="11"/>
  <c r="W34" i="11"/>
  <c r="V34" i="11"/>
  <c r="AF34" i="11"/>
  <c r="AC34" i="11"/>
  <c r="AE34" i="11"/>
  <c r="AD34" i="11"/>
  <c r="Y34" i="11"/>
  <c r="X34" i="11"/>
  <c r="U34" i="11"/>
  <c r="Z34" i="11"/>
  <c r="AB34" i="11"/>
  <c r="T34" i="11"/>
  <c r="AF35" i="11"/>
  <c r="T35" i="11"/>
  <c r="V35" i="11"/>
  <c r="Z35" i="11"/>
  <c r="AE35" i="11"/>
  <c r="AB35" i="11"/>
  <c r="AD35" i="11"/>
  <c r="X35" i="11"/>
  <c r="W35" i="11"/>
  <c r="U35" i="11"/>
  <c r="AA35" i="11"/>
  <c r="Y35" i="11"/>
  <c r="AC35" i="11"/>
  <c r="AE21" i="11"/>
  <c r="T21" i="11"/>
  <c r="AF21" i="11"/>
  <c r="V21" i="11"/>
  <c r="X21" i="11"/>
  <c r="AD21" i="11"/>
  <c r="Z21" i="11"/>
  <c r="Y21" i="11"/>
  <c r="U21" i="11"/>
  <c r="AB21" i="11"/>
  <c r="AC21" i="11"/>
  <c r="AA21" i="11"/>
  <c r="W21" i="11"/>
  <c r="AV21" i="11"/>
  <c r="AS21" i="11"/>
  <c r="AL21" i="11"/>
  <c r="AJ21" i="11"/>
  <c r="AK21" i="11"/>
  <c r="AO21" i="11"/>
  <c r="AT21" i="11"/>
  <c r="AQ21" i="11"/>
  <c r="AM21" i="11"/>
  <c r="AN21" i="11"/>
  <c r="AU21" i="11"/>
  <c r="AR21" i="11"/>
  <c r="AP21" i="11"/>
  <c r="AU35" i="11"/>
  <c r="AL35" i="11"/>
  <c r="AV35" i="11"/>
  <c r="AQ35" i="11"/>
  <c r="AS35" i="11"/>
  <c r="AR35" i="11"/>
  <c r="AT35" i="11"/>
  <c r="AO35" i="11"/>
  <c r="AN35" i="11"/>
  <c r="AM35" i="11"/>
  <c r="AP35" i="11"/>
  <c r="AK35" i="11"/>
  <c r="AJ35" i="11"/>
  <c r="AB29" i="2"/>
  <c r="Q96" i="2"/>
  <c r="Q21" i="2"/>
  <c r="C169" i="7"/>
  <c r="Q79" i="2"/>
  <c r="Q82" i="2"/>
  <c r="J83" i="2"/>
  <c r="P83" i="2"/>
  <c r="I83" i="2"/>
  <c r="M83" i="2"/>
  <c r="I45" i="2"/>
  <c r="H45" i="2"/>
  <c r="J45" i="2"/>
  <c r="E45" i="2"/>
  <c r="M45" i="2"/>
  <c r="O45" i="2"/>
  <c r="G45" i="2"/>
  <c r="P45" i="2"/>
  <c r="F45" i="2"/>
  <c r="L45" i="2"/>
  <c r="K45" i="2"/>
  <c r="D45" i="2"/>
  <c r="N45" i="2"/>
  <c r="Q84" i="2"/>
  <c r="Q91" i="2"/>
  <c r="Q80" i="2"/>
  <c r="Q35" i="2"/>
  <c r="D72" i="2"/>
  <c r="F20" i="2"/>
  <c r="J20" i="2"/>
  <c r="N20" i="2"/>
  <c r="H20" i="2"/>
  <c r="P20" i="2"/>
  <c r="I20" i="2"/>
  <c r="D20" i="2"/>
  <c r="G20" i="2"/>
  <c r="K20" i="2"/>
  <c r="O20" i="2"/>
  <c r="L20" i="2"/>
  <c r="E20" i="2"/>
  <c r="M20" i="2"/>
  <c r="C88" i="6"/>
  <c r="C89" i="6"/>
  <c r="C95" i="6"/>
  <c r="C96" i="6"/>
  <c r="C97" i="6"/>
  <c r="C99" i="6"/>
  <c r="C90" i="6"/>
  <c r="C93" i="6"/>
  <c r="C92" i="6"/>
  <c r="E73" i="5"/>
  <c r="D88" i="6"/>
  <c r="D89" i="6"/>
  <c r="D95" i="6"/>
  <c r="D96" i="6"/>
  <c r="D99" i="6"/>
  <c r="E71" i="5"/>
  <c r="D97" i="6"/>
  <c r="AE98" i="2"/>
  <c r="P29" i="2"/>
  <c r="L29" i="2"/>
  <c r="AE29" i="2"/>
  <c r="AS29" i="2"/>
  <c r="AC29" i="2"/>
  <c r="AF29" i="2"/>
  <c r="AV29" i="2"/>
  <c r="F71" i="2"/>
  <c r="AT29" i="11"/>
  <c r="AS29" i="11"/>
  <c r="AE29" i="11"/>
  <c r="P92" i="2"/>
  <c r="H92" i="2"/>
  <c r="M92" i="2"/>
  <c r="G92" i="2"/>
  <c r="L92" i="2"/>
  <c r="N92" i="2"/>
  <c r="M71" i="2"/>
  <c r="E86" i="2"/>
  <c r="I71" i="2"/>
  <c r="L86" i="2"/>
  <c r="AI86" i="11"/>
  <c r="AV86" i="11"/>
  <c r="P87" i="2"/>
  <c r="K71" i="2"/>
  <c r="K86" i="2"/>
  <c r="L87" i="2"/>
  <c r="G71" i="2"/>
  <c r="J86" i="2"/>
  <c r="G86" i="2"/>
  <c r="G87" i="2"/>
  <c r="L71" i="2"/>
  <c r="H71" i="2"/>
  <c r="N71" i="2"/>
  <c r="F86" i="2"/>
  <c r="I86" i="2"/>
  <c r="D86" i="2"/>
  <c r="D92" i="2"/>
  <c r="O92" i="2"/>
  <c r="J92" i="2"/>
  <c r="Z98" i="2"/>
  <c r="S87" i="2"/>
  <c r="AF87" i="2"/>
  <c r="AI92" i="2"/>
  <c r="AJ92" i="2"/>
  <c r="E71" i="2"/>
  <c r="P71" i="2"/>
  <c r="N86" i="2"/>
  <c r="H86" i="2"/>
  <c r="D71" i="2"/>
  <c r="O71" i="2"/>
  <c r="Q71" i="2"/>
  <c r="M86" i="2"/>
  <c r="P86" i="2"/>
  <c r="E92" i="2"/>
  <c r="I92" i="2"/>
  <c r="K92" i="2"/>
  <c r="AD98" i="2"/>
  <c r="AI88" i="2"/>
  <c r="AK88" i="2"/>
  <c r="S92" i="11"/>
  <c r="T92" i="11"/>
  <c r="Q81" i="2"/>
  <c r="AI98" i="2"/>
  <c r="AL98" i="2"/>
  <c r="N53" i="2"/>
  <c r="J53" i="2"/>
  <c r="P53" i="2"/>
  <c r="H53" i="2"/>
  <c r="G98" i="2"/>
  <c r="K98" i="2"/>
  <c r="E98" i="2"/>
  <c r="D98" i="2"/>
  <c r="N98" i="2"/>
  <c r="J98" i="2"/>
  <c r="P98" i="2"/>
  <c r="O98" i="2"/>
  <c r="F98" i="2"/>
  <c r="I98" i="2"/>
  <c r="M98" i="2"/>
  <c r="L98" i="2"/>
  <c r="M88" i="2"/>
  <c r="L83" i="2"/>
  <c r="F83" i="2"/>
  <c r="G83" i="2"/>
  <c r="J88" i="2"/>
  <c r="N83" i="2"/>
  <c r="H83" i="2"/>
  <c r="D83" i="2"/>
  <c r="K83" i="2"/>
  <c r="E83" i="2"/>
  <c r="L88" i="2"/>
  <c r="N72" i="2"/>
  <c r="D53" i="2"/>
  <c r="L53" i="2"/>
  <c r="F53" i="2"/>
  <c r="AF98" i="2"/>
  <c r="W98" i="2"/>
  <c r="AA98" i="2"/>
  <c r="AU83" i="11"/>
  <c r="AM83" i="11"/>
  <c r="AP83" i="11"/>
  <c r="AK83" i="11"/>
  <c r="AJ83" i="11"/>
  <c r="AO83" i="11"/>
  <c r="AL83" i="11"/>
  <c r="AV83" i="11"/>
  <c r="AQ83" i="11"/>
  <c r="AN83" i="11"/>
  <c r="AS83" i="11"/>
  <c r="AR83" i="11"/>
  <c r="AT83" i="11"/>
  <c r="AJ83" i="2"/>
  <c r="AL83" i="2"/>
  <c r="AV83" i="2"/>
  <c r="AP83" i="2"/>
  <c r="AU83" i="2"/>
  <c r="AS83" i="2"/>
  <c r="AR83" i="2"/>
  <c r="AM83" i="2"/>
  <c r="AQ83" i="2"/>
  <c r="AT83" i="2"/>
  <c r="AO83" i="2"/>
  <c r="AN83" i="2"/>
  <c r="AK83" i="2"/>
  <c r="O88" i="2"/>
  <c r="P72" i="2"/>
  <c r="F72" i="2"/>
  <c r="G53" i="2"/>
  <c r="O53" i="2"/>
  <c r="M53" i="2"/>
  <c r="T98" i="2"/>
  <c r="X98" i="2"/>
  <c r="AB98" i="2"/>
  <c r="S98" i="11"/>
  <c r="T83" i="2"/>
  <c r="W83" i="2"/>
  <c r="AC83" i="2"/>
  <c r="AA83" i="2"/>
  <c r="AD83" i="2"/>
  <c r="X83" i="2"/>
  <c r="AE83" i="2"/>
  <c r="V83" i="2"/>
  <c r="Y83" i="2"/>
  <c r="AB83" i="2"/>
  <c r="U83" i="2"/>
  <c r="Z83" i="2"/>
  <c r="AF83" i="2"/>
  <c r="I83" i="11"/>
  <c r="M83" i="11"/>
  <c r="E83" i="11"/>
  <c r="K83" i="11"/>
  <c r="D83" i="11"/>
  <c r="P83" i="11"/>
  <c r="F83" i="11"/>
  <c r="O83" i="11"/>
  <c r="H83" i="11"/>
  <c r="N83" i="11"/>
  <c r="J83" i="11"/>
  <c r="L83" i="11"/>
  <c r="G83" i="11"/>
  <c r="P88" i="2"/>
  <c r="G88" i="2"/>
  <c r="G72" i="2"/>
  <c r="I72" i="2"/>
  <c r="I53" i="2"/>
  <c r="E53" i="2"/>
  <c r="V98" i="2"/>
  <c r="U98" i="2"/>
  <c r="Y98" i="2"/>
  <c r="Q93" i="2"/>
  <c r="Q76" i="2"/>
  <c r="AC83" i="11"/>
  <c r="X83" i="11"/>
  <c r="U83" i="11"/>
  <c r="T83" i="11"/>
  <c r="AE83" i="11"/>
  <c r="Y83" i="11"/>
  <c r="AF83" i="11"/>
  <c r="AD83" i="11"/>
  <c r="Z83" i="11"/>
  <c r="W83" i="11"/>
  <c r="AA83" i="11"/>
  <c r="V83" i="11"/>
  <c r="AB83" i="11"/>
  <c r="F169" i="7"/>
  <c r="AI53" i="11"/>
  <c r="AI53" i="2"/>
  <c r="S53" i="11"/>
  <c r="S53" i="2"/>
  <c r="O53" i="11"/>
  <c r="D53" i="11"/>
  <c r="H53" i="11"/>
  <c r="K53" i="11"/>
  <c r="P53" i="11"/>
  <c r="G53" i="11"/>
  <c r="I53" i="11"/>
  <c r="L53" i="11"/>
  <c r="E53" i="11"/>
  <c r="M53" i="11"/>
  <c r="F53" i="11"/>
  <c r="J53" i="11"/>
  <c r="N53" i="11"/>
  <c r="H87" i="2"/>
  <c r="D87" i="2"/>
  <c r="N87" i="2"/>
  <c r="M87" i="2"/>
  <c r="O87" i="2"/>
  <c r="J87" i="2"/>
  <c r="S86" i="2"/>
  <c r="S86" i="11"/>
  <c r="I87" i="2"/>
  <c r="E87" i="2"/>
  <c r="K87" i="2"/>
  <c r="AI87" i="11"/>
  <c r="AI87" i="2"/>
  <c r="AE72" i="2"/>
  <c r="AD72" i="2"/>
  <c r="AF72" i="2"/>
  <c r="U72" i="2"/>
  <c r="T72" i="2"/>
  <c r="Y72" i="2"/>
  <c r="W72" i="2"/>
  <c r="AC72" i="2"/>
  <c r="X72" i="2"/>
  <c r="Z72" i="2"/>
  <c r="AA72" i="2"/>
  <c r="V72" i="2"/>
  <c r="AB72" i="2"/>
  <c r="AE71" i="11"/>
  <c r="X71" i="11"/>
  <c r="T71" i="11"/>
  <c r="AF71" i="11"/>
  <c r="Z71" i="11"/>
  <c r="AA71" i="11"/>
  <c r="AB71" i="11"/>
  <c r="AD71" i="11"/>
  <c r="AC71" i="11"/>
  <c r="U71" i="11"/>
  <c r="Y71" i="11"/>
  <c r="W71" i="11"/>
  <c r="V71" i="11"/>
  <c r="P98" i="11"/>
  <c r="M98" i="11"/>
  <c r="I98" i="11"/>
  <c r="N98" i="11"/>
  <c r="D98" i="11"/>
  <c r="G98" i="11"/>
  <c r="H98" i="11"/>
  <c r="F98" i="11"/>
  <c r="K98" i="11"/>
  <c r="L98" i="11"/>
  <c r="E98" i="11"/>
  <c r="O98" i="11"/>
  <c r="J98" i="11"/>
  <c r="H88" i="2"/>
  <c r="D88" i="2"/>
  <c r="N88" i="2"/>
  <c r="H72" i="2"/>
  <c r="L72" i="2"/>
  <c r="J72" i="2"/>
  <c r="E72" i="2"/>
  <c r="P71" i="11"/>
  <c r="H71" i="11"/>
  <c r="M71" i="11"/>
  <c r="L71" i="11"/>
  <c r="O71" i="11"/>
  <c r="G71" i="11"/>
  <c r="N71" i="11"/>
  <c r="I71" i="11"/>
  <c r="F71" i="11"/>
  <c r="J71" i="11"/>
  <c r="E71" i="11"/>
  <c r="K71" i="11"/>
  <c r="D71" i="11"/>
  <c r="O86" i="11"/>
  <c r="D86" i="11"/>
  <c r="N86" i="11"/>
  <c r="J86" i="11"/>
  <c r="F86" i="11"/>
  <c r="H86" i="11"/>
  <c r="G86" i="11"/>
  <c r="P86" i="11"/>
  <c r="L86" i="11"/>
  <c r="M86" i="11"/>
  <c r="K86" i="11"/>
  <c r="I86" i="11"/>
  <c r="E86" i="11"/>
  <c r="W72" i="11"/>
  <c r="AF72" i="11"/>
  <c r="AD72" i="11"/>
  <c r="Y72" i="11"/>
  <c r="AC72" i="11"/>
  <c r="AE72" i="11"/>
  <c r="Z72" i="11"/>
  <c r="U72" i="11"/>
  <c r="T72" i="11"/>
  <c r="X72" i="11"/>
  <c r="V72" i="11"/>
  <c r="AA72" i="11"/>
  <c r="AB72" i="11"/>
  <c r="M92" i="11"/>
  <c r="N92" i="11"/>
  <c r="D92" i="11"/>
  <c r="H92" i="11"/>
  <c r="F92" i="11"/>
  <c r="G92" i="11"/>
  <c r="P92" i="11"/>
  <c r="J92" i="11"/>
  <c r="E92" i="11"/>
  <c r="K92" i="11"/>
  <c r="L92" i="11"/>
  <c r="I92" i="11"/>
  <c r="O92" i="11"/>
  <c r="AM71" i="2"/>
  <c r="AK71" i="2"/>
  <c r="AL71" i="2"/>
  <c r="AJ71" i="2"/>
  <c r="AT71" i="2"/>
  <c r="AN71" i="2"/>
  <c r="AV71" i="2"/>
  <c r="AU71" i="2"/>
  <c r="AS71" i="2"/>
  <c r="AP71" i="2"/>
  <c r="AO71" i="2"/>
  <c r="AR71" i="2"/>
  <c r="AQ71" i="2"/>
  <c r="E87" i="11"/>
  <c r="N87" i="11"/>
  <c r="O87" i="11"/>
  <c r="D87" i="11"/>
  <c r="I87" i="11"/>
  <c r="P87" i="11"/>
  <c r="H87" i="11"/>
  <c r="M87" i="11"/>
  <c r="F87" i="11"/>
  <c r="G87" i="11"/>
  <c r="L87" i="11"/>
  <c r="K87" i="11"/>
  <c r="J87" i="11"/>
  <c r="AL72" i="2"/>
  <c r="AN72" i="2"/>
  <c r="AR72" i="2"/>
  <c r="AM72" i="2"/>
  <c r="AP72" i="2"/>
  <c r="AV72" i="2"/>
  <c r="AJ72" i="2"/>
  <c r="AS72" i="2"/>
  <c r="AQ72" i="2"/>
  <c r="AT72" i="2"/>
  <c r="AK72" i="2"/>
  <c r="AO72" i="2"/>
  <c r="AU72" i="2"/>
  <c r="I88" i="2"/>
  <c r="E88" i="2"/>
  <c r="K88" i="2"/>
  <c r="O72" i="2"/>
  <c r="K72" i="2"/>
  <c r="O88" i="11"/>
  <c r="K88" i="11"/>
  <c r="L88" i="11"/>
  <c r="D88" i="11"/>
  <c r="E88" i="11"/>
  <c r="N88" i="11"/>
  <c r="F88" i="11"/>
  <c r="H88" i="11"/>
  <c r="J88" i="11"/>
  <c r="I88" i="11"/>
  <c r="P88" i="11"/>
  <c r="G88" i="11"/>
  <c r="M88" i="11"/>
  <c r="N72" i="11"/>
  <c r="G72" i="11"/>
  <c r="P72" i="11"/>
  <c r="K72" i="11"/>
  <c r="O72" i="11"/>
  <c r="M72" i="11"/>
  <c r="L72" i="11"/>
  <c r="E72" i="11"/>
  <c r="F72" i="11"/>
  <c r="I72" i="11"/>
  <c r="H72" i="11"/>
  <c r="J72" i="11"/>
  <c r="D72" i="11"/>
  <c r="AV71" i="11"/>
  <c r="AL71" i="11"/>
  <c r="AJ71" i="11"/>
  <c r="AS71" i="11"/>
  <c r="AT71" i="11"/>
  <c r="AN71" i="11"/>
  <c r="AO71" i="11"/>
  <c r="AR71" i="11"/>
  <c r="AU71" i="11"/>
  <c r="AK71" i="11"/>
  <c r="AM71" i="11"/>
  <c r="AP71" i="11"/>
  <c r="AQ71" i="11"/>
  <c r="T71" i="2"/>
  <c r="Z71" i="2"/>
  <c r="Y71" i="2"/>
  <c r="AE71" i="2"/>
  <c r="AD71" i="2"/>
  <c r="X71" i="2"/>
  <c r="W71" i="2"/>
  <c r="AC71" i="2"/>
  <c r="AB71" i="2"/>
  <c r="AA71" i="2"/>
  <c r="V71" i="2"/>
  <c r="AF71" i="2"/>
  <c r="U71" i="2"/>
  <c r="AU72" i="11"/>
  <c r="AJ72" i="11"/>
  <c r="AR72" i="11"/>
  <c r="AO72" i="11"/>
  <c r="AL72" i="11"/>
  <c r="AN72" i="11"/>
  <c r="AP72" i="11"/>
  <c r="AM72" i="11"/>
  <c r="AV72" i="11"/>
  <c r="AK72" i="11"/>
  <c r="AT72" i="11"/>
  <c r="AQ72" i="11"/>
  <c r="AS72" i="11"/>
  <c r="AW93" i="2"/>
  <c r="AU88" i="11"/>
  <c r="AT88" i="11"/>
  <c r="AL88" i="11"/>
  <c r="AQ88" i="11"/>
  <c r="AO88" i="11"/>
  <c r="AK88" i="11"/>
  <c r="AR88" i="11"/>
  <c r="AN88" i="11"/>
  <c r="AV88" i="11"/>
  <c r="AM88" i="11"/>
  <c r="AJ88" i="11"/>
  <c r="AP88" i="11"/>
  <c r="AS88" i="11"/>
  <c r="AN86" i="2"/>
  <c r="AL86" i="2"/>
  <c r="AQ86" i="2"/>
  <c r="AJ86" i="2"/>
  <c r="AV86" i="2"/>
  <c r="AS86" i="2"/>
  <c r="AR86" i="2"/>
  <c r="AK86" i="2"/>
  <c r="AP86" i="2"/>
  <c r="AU86" i="2"/>
  <c r="AM86" i="2"/>
  <c r="AO86" i="2"/>
  <c r="AT86" i="2"/>
  <c r="AO92" i="2"/>
  <c r="AQ92" i="2"/>
  <c r="AV92" i="2"/>
  <c r="AR92" i="2"/>
  <c r="AS92" i="2"/>
  <c r="AM92" i="2"/>
  <c r="AJ86" i="11"/>
  <c r="AR86" i="11"/>
  <c r="AQ86" i="11"/>
  <c r="AN86" i="11"/>
  <c r="AK86" i="11"/>
  <c r="AM86" i="11"/>
  <c r="AV98" i="11"/>
  <c r="AR98" i="11"/>
  <c r="AT98" i="11"/>
  <c r="AN98" i="11"/>
  <c r="AJ98" i="11"/>
  <c r="AO98" i="11"/>
  <c r="AM98" i="11"/>
  <c r="AU98" i="11"/>
  <c r="AS98" i="11"/>
  <c r="AL98" i="11"/>
  <c r="AQ98" i="11"/>
  <c r="AK98" i="11"/>
  <c r="AP98" i="11"/>
  <c r="AL92" i="11"/>
  <c r="AP92" i="11"/>
  <c r="AU92" i="11"/>
  <c r="AS92" i="11"/>
  <c r="AV92" i="11"/>
  <c r="AR92" i="11"/>
  <c r="AO92" i="11"/>
  <c r="AN92" i="11"/>
  <c r="AJ92" i="11"/>
  <c r="AM92" i="11"/>
  <c r="AK92" i="11"/>
  <c r="AT92" i="11"/>
  <c r="AQ92" i="11"/>
  <c r="Z88" i="2"/>
  <c r="AF88" i="2"/>
  <c r="AC88" i="2"/>
  <c r="W88" i="2"/>
  <c r="T88" i="2"/>
  <c r="AD88" i="2"/>
  <c r="V88" i="2"/>
  <c r="AE88" i="2"/>
  <c r="Y88" i="2"/>
  <c r="X88" i="2"/>
  <c r="AB88" i="2"/>
  <c r="AA88" i="2"/>
  <c r="U88" i="2"/>
  <c r="AG92" i="2"/>
  <c r="AG93" i="2"/>
  <c r="AF88" i="11"/>
  <c r="U88" i="11"/>
  <c r="Y88" i="11"/>
  <c r="V88" i="11"/>
  <c r="AE88" i="11"/>
  <c r="X88" i="11"/>
  <c r="AC88" i="11"/>
  <c r="Z88" i="11"/>
  <c r="AB88" i="11"/>
  <c r="AD88" i="11"/>
  <c r="W88" i="11"/>
  <c r="AA88" i="11"/>
  <c r="T88" i="11"/>
  <c r="AF87" i="11"/>
  <c r="AE87" i="11"/>
  <c r="U87" i="11"/>
  <c r="X87" i="11"/>
  <c r="AA87" i="11"/>
  <c r="T87" i="11"/>
  <c r="AD87" i="11"/>
  <c r="Z87" i="11"/>
  <c r="AC87" i="11"/>
  <c r="V87" i="11"/>
  <c r="Y87" i="11"/>
  <c r="AB87" i="11"/>
  <c r="W87" i="11"/>
  <c r="AW76" i="2"/>
  <c r="AG76" i="2"/>
  <c r="P85" i="2"/>
  <c r="F85" i="2"/>
  <c r="J85" i="2"/>
  <c r="D85" i="2"/>
  <c r="E85" i="2"/>
  <c r="N85" i="2"/>
  <c r="K85" i="2"/>
  <c r="H85" i="2"/>
  <c r="I85" i="2"/>
  <c r="G85" i="2"/>
  <c r="L85" i="2"/>
  <c r="M85" i="2"/>
  <c r="O85" i="2"/>
  <c r="V85" i="2"/>
  <c r="W85" i="2"/>
  <c r="X85" i="2"/>
  <c r="AC85" i="2"/>
  <c r="AE85" i="2"/>
  <c r="T85" i="2"/>
  <c r="Z85" i="2"/>
  <c r="AA85" i="2"/>
  <c r="AB85" i="2"/>
  <c r="AD85" i="2"/>
  <c r="AF85" i="2"/>
  <c r="Y85" i="2"/>
  <c r="U85" i="2"/>
  <c r="AL85" i="2"/>
  <c r="AO85" i="2"/>
  <c r="AK85" i="2"/>
  <c r="AJ85" i="2"/>
  <c r="AU85" i="2"/>
  <c r="AT85" i="2"/>
  <c r="AS85" i="2"/>
  <c r="AV85" i="2"/>
  <c r="AQ85" i="2"/>
  <c r="AP85" i="2"/>
  <c r="AR85" i="2"/>
  <c r="AM85" i="2"/>
  <c r="AN85" i="2"/>
  <c r="Z85" i="11"/>
  <c r="AB85" i="11"/>
  <c r="X85" i="11"/>
  <c r="Y85" i="11"/>
  <c r="AD85" i="11"/>
  <c r="AC85" i="11"/>
  <c r="W85" i="11"/>
  <c r="AE85" i="11"/>
  <c r="V85" i="11"/>
  <c r="AA85" i="11"/>
  <c r="T85" i="11"/>
  <c r="AF85" i="11"/>
  <c r="U85" i="11"/>
  <c r="AV85" i="11"/>
  <c r="AK85" i="11"/>
  <c r="AT85" i="11"/>
  <c r="AN85" i="11"/>
  <c r="AS85" i="11"/>
  <c r="AM85" i="11"/>
  <c r="AR85" i="11"/>
  <c r="AO85" i="11"/>
  <c r="AL85" i="11"/>
  <c r="AQ85" i="11"/>
  <c r="AP85" i="11"/>
  <c r="AU85" i="11"/>
  <c r="AJ85" i="11"/>
  <c r="N85" i="11"/>
  <c r="I85" i="11"/>
  <c r="H85" i="11"/>
  <c r="J85" i="11"/>
  <c r="E85" i="11"/>
  <c r="D85" i="11"/>
  <c r="O85" i="11"/>
  <c r="F85" i="11"/>
  <c r="P85" i="11"/>
  <c r="G85" i="11"/>
  <c r="M85" i="11"/>
  <c r="L85" i="11"/>
  <c r="K85" i="11"/>
  <c r="AI45" i="11"/>
  <c r="AI45" i="2"/>
  <c r="S45" i="11"/>
  <c r="S45" i="2"/>
  <c r="O45" i="11"/>
  <c r="E45" i="11"/>
  <c r="D45" i="11"/>
  <c r="K45" i="11"/>
  <c r="F45" i="11"/>
  <c r="P45" i="11"/>
  <c r="I45" i="11"/>
  <c r="G45" i="11"/>
  <c r="M45" i="11"/>
  <c r="L45" i="11"/>
  <c r="N45" i="11"/>
  <c r="J45" i="11"/>
  <c r="H45" i="11"/>
  <c r="AR29" i="11"/>
  <c r="M29" i="2"/>
  <c r="K29" i="2"/>
  <c r="AF20" i="11"/>
  <c r="Z20" i="11"/>
  <c r="AE20" i="11"/>
  <c r="T20" i="11"/>
  <c r="AC20" i="11"/>
  <c r="W20" i="11"/>
  <c r="AA20" i="11"/>
  <c r="AB20" i="11"/>
  <c r="U20" i="11"/>
  <c r="Y20" i="11"/>
  <c r="V20" i="11"/>
  <c r="AD20" i="11"/>
  <c r="X20" i="11"/>
  <c r="AT29" i="2"/>
  <c r="AF29" i="11"/>
  <c r="AD29" i="11"/>
  <c r="AW33" i="2"/>
  <c r="O20" i="11"/>
  <c r="H20" i="11"/>
  <c r="E20" i="11"/>
  <c r="D20" i="11"/>
  <c r="F20" i="11"/>
  <c r="J20" i="11"/>
  <c r="P20" i="11"/>
  <c r="L20" i="11"/>
  <c r="N20" i="11"/>
  <c r="M20" i="11"/>
  <c r="I20" i="11"/>
  <c r="G20" i="11"/>
  <c r="K20" i="11"/>
  <c r="AG33" i="2"/>
  <c r="O29" i="2"/>
  <c r="AU29" i="2"/>
  <c r="AW21" i="2"/>
  <c r="AG21" i="2"/>
  <c r="AM20" i="2"/>
  <c r="AP20" i="2"/>
  <c r="AO20" i="2"/>
  <c r="AT20" i="2"/>
  <c r="AN20" i="2"/>
  <c r="AS20" i="2"/>
  <c r="AR20" i="2"/>
  <c r="AK20" i="2"/>
  <c r="AL20" i="2"/>
  <c r="AJ20" i="2"/>
  <c r="AU20" i="2"/>
  <c r="AV20" i="2"/>
  <c r="AQ20" i="2"/>
  <c r="J29" i="11"/>
  <c r="AC29" i="11"/>
  <c r="AU29" i="11"/>
  <c r="AW34" i="2"/>
  <c r="T20" i="2"/>
  <c r="V20" i="2"/>
  <c r="X20" i="2"/>
  <c r="W20" i="2"/>
  <c r="U20" i="2"/>
  <c r="AA20" i="2"/>
  <c r="Z20" i="2"/>
  <c r="AF20" i="2"/>
  <c r="AB20" i="2"/>
  <c r="Y20" i="2"/>
  <c r="AE20" i="2"/>
  <c r="AD20" i="2"/>
  <c r="AC20" i="2"/>
  <c r="N29" i="2"/>
  <c r="AR29" i="2"/>
  <c r="AW35" i="2"/>
  <c r="AG35" i="2"/>
  <c r="AV20" i="11"/>
  <c r="AJ20" i="11"/>
  <c r="AL20" i="11"/>
  <c r="AU20" i="11"/>
  <c r="AO20" i="11"/>
  <c r="AR20" i="11"/>
  <c r="AT20" i="11"/>
  <c r="AP20" i="11"/>
  <c r="AM20" i="11"/>
  <c r="AN20" i="11"/>
  <c r="AK20" i="11"/>
  <c r="AQ20" i="11"/>
  <c r="AS20" i="11"/>
  <c r="AB29" i="11"/>
  <c r="AV29" i="11"/>
  <c r="AG29" i="2"/>
  <c r="E169" i="7"/>
  <c r="Q45" i="2"/>
  <c r="Q20" i="2"/>
  <c r="F73" i="5"/>
  <c r="E88" i="6"/>
  <c r="E89" i="6"/>
  <c r="E95" i="6"/>
  <c r="E96" i="6"/>
  <c r="E99" i="6"/>
  <c r="F71" i="5"/>
  <c r="E97" i="6"/>
  <c r="AN88" i="2"/>
  <c r="AW29" i="2"/>
  <c r="AT88" i="2"/>
  <c r="AL88" i="2"/>
  <c r="AK98" i="2"/>
  <c r="AP98" i="2"/>
  <c r="AV98" i="2"/>
  <c r="Q29" i="2"/>
  <c r="AR88" i="2"/>
  <c r="AO88" i="2"/>
  <c r="AM88" i="2"/>
  <c r="AO86" i="11"/>
  <c r="AP86" i="11"/>
  <c r="AS86" i="11"/>
  <c r="AU86" i="11"/>
  <c r="AT92" i="2"/>
  <c r="AK92" i="2"/>
  <c r="AP92" i="2"/>
  <c r="AS88" i="2"/>
  <c r="AP88" i="2"/>
  <c r="AJ88" i="2"/>
  <c r="AU88" i="2"/>
  <c r="AL86" i="11"/>
  <c r="AT86" i="11"/>
  <c r="AN92" i="2"/>
  <c r="AU92" i="2"/>
  <c r="AL92" i="2"/>
  <c r="AQ88" i="2"/>
  <c r="AV88" i="2"/>
  <c r="AN98" i="2"/>
  <c r="AR98" i="2"/>
  <c r="AO98" i="2"/>
  <c r="AS98" i="2"/>
  <c r="AA92" i="11"/>
  <c r="AU98" i="2"/>
  <c r="AJ98" i="2"/>
  <c r="AM98" i="2"/>
  <c r="AB92" i="11"/>
  <c r="U92" i="11"/>
  <c r="AT98" i="2"/>
  <c r="AQ98" i="2"/>
  <c r="V87" i="2"/>
  <c r="T87" i="2"/>
  <c r="Z87" i="2"/>
  <c r="X92" i="11"/>
  <c r="Q92" i="2"/>
  <c r="Q86" i="2"/>
  <c r="Z92" i="11"/>
  <c r="AC92" i="11"/>
  <c r="AD87" i="2"/>
  <c r="U87" i="2"/>
  <c r="AE87" i="2"/>
  <c r="AC87" i="2"/>
  <c r="AB87" i="2"/>
  <c r="Y92" i="11"/>
  <c r="V92" i="11"/>
  <c r="W92" i="11"/>
  <c r="AF92" i="11"/>
  <c r="W87" i="2"/>
  <c r="Y87" i="2"/>
  <c r="X87" i="2"/>
  <c r="AA87" i="2"/>
  <c r="AE92" i="11"/>
  <c r="AD92" i="11"/>
  <c r="Q83" i="2"/>
  <c r="Q98" i="2"/>
  <c r="AG98" i="2"/>
  <c r="Q53" i="2"/>
  <c r="Q88" i="2"/>
  <c r="AE98" i="11"/>
  <c r="AB98" i="11"/>
  <c r="Y98" i="11"/>
  <c r="AD98" i="11"/>
  <c r="AC98" i="11"/>
  <c r="W98" i="11"/>
  <c r="T98" i="11"/>
  <c r="AF98" i="11"/>
  <c r="AA98" i="11"/>
  <c r="U98" i="11"/>
  <c r="X98" i="11"/>
  <c r="V98" i="11"/>
  <c r="Z98" i="11"/>
  <c r="Q87" i="2"/>
  <c r="AW83" i="2"/>
  <c r="AG83" i="2"/>
  <c r="AJ94" i="2"/>
  <c r="AJ94" i="11"/>
  <c r="AE94" i="2"/>
  <c r="AD53" i="11"/>
  <c r="X53" i="11"/>
  <c r="AA53" i="11"/>
  <c r="U53" i="11"/>
  <c r="T53" i="11"/>
  <c r="V53" i="11"/>
  <c r="AF53" i="11"/>
  <c r="AC53" i="11"/>
  <c r="AE53" i="11"/>
  <c r="Y53" i="11"/>
  <c r="AB53" i="11"/>
  <c r="W53" i="11"/>
  <c r="Z53" i="11"/>
  <c r="AK53" i="2"/>
  <c r="AT53" i="2"/>
  <c r="AR53" i="2"/>
  <c r="AP53" i="2"/>
  <c r="AQ53" i="2"/>
  <c r="AN53" i="2"/>
  <c r="AL53" i="2"/>
  <c r="AM53" i="2"/>
  <c r="AS53" i="2"/>
  <c r="AU53" i="2"/>
  <c r="AJ53" i="2"/>
  <c r="AO53" i="2"/>
  <c r="AV53" i="2"/>
  <c r="AP53" i="11"/>
  <c r="AU53" i="11"/>
  <c r="AQ53" i="11"/>
  <c r="AS53" i="11"/>
  <c r="AT53" i="11"/>
  <c r="AM53" i="11"/>
  <c r="AJ53" i="11"/>
  <c r="AO53" i="11"/>
  <c r="AR53" i="11"/>
  <c r="AV53" i="11"/>
  <c r="AK53" i="11"/>
  <c r="AL53" i="11"/>
  <c r="AN53" i="11"/>
  <c r="AC53" i="2"/>
  <c r="X53" i="2"/>
  <c r="AE53" i="2"/>
  <c r="V53" i="2"/>
  <c r="AF53" i="2"/>
  <c r="T53" i="2"/>
  <c r="U53" i="2"/>
  <c r="Z53" i="2"/>
  <c r="W53" i="2"/>
  <c r="AB53" i="2"/>
  <c r="Y53" i="2"/>
  <c r="AD53" i="2"/>
  <c r="AA53" i="2"/>
  <c r="AB86" i="2"/>
  <c r="AC86" i="2"/>
  <c r="AD86" i="2"/>
  <c r="U86" i="2"/>
  <c r="Y86" i="2"/>
  <c r="Z86" i="2"/>
  <c r="AE86" i="2"/>
  <c r="X86" i="2"/>
  <c r="T86" i="2"/>
  <c r="AF86" i="2"/>
  <c r="V86" i="2"/>
  <c r="AA86" i="2"/>
  <c r="W86" i="2"/>
  <c r="AF86" i="11"/>
  <c r="AB86" i="11"/>
  <c r="Z86" i="11"/>
  <c r="AA86" i="11"/>
  <c r="AE86" i="11"/>
  <c r="U86" i="11"/>
  <c r="AC86" i="11"/>
  <c r="X86" i="11"/>
  <c r="W86" i="11"/>
  <c r="Y86" i="11"/>
  <c r="AD86" i="11"/>
  <c r="T86" i="11"/>
  <c r="V86" i="11"/>
  <c r="Q72" i="2"/>
  <c r="AG72" i="2"/>
  <c r="AW71" i="2"/>
  <c r="AV87" i="2"/>
  <c r="AS87" i="2"/>
  <c r="AN87" i="2"/>
  <c r="AJ87" i="2"/>
  <c r="AL87" i="2"/>
  <c r="AR87" i="2"/>
  <c r="AQ87" i="2"/>
  <c r="AM87" i="2"/>
  <c r="AK87" i="2"/>
  <c r="AP87" i="2"/>
  <c r="AU87" i="2"/>
  <c r="AT87" i="2"/>
  <c r="AO87" i="2"/>
  <c r="AG71" i="2"/>
  <c r="AW72" i="2"/>
  <c r="AR87" i="11"/>
  <c r="AV87" i="11"/>
  <c r="AK87" i="11"/>
  <c r="AT87" i="11"/>
  <c r="AQ87" i="11"/>
  <c r="AJ87" i="11"/>
  <c r="AO87" i="11"/>
  <c r="AU87" i="11"/>
  <c r="AM87" i="11"/>
  <c r="AS87" i="11"/>
  <c r="AN87" i="11"/>
  <c r="AP87" i="11"/>
  <c r="AL87" i="11"/>
  <c r="AW86" i="2"/>
  <c r="AG88" i="2"/>
  <c r="Q85" i="2"/>
  <c r="AG85" i="2"/>
  <c r="AW85" i="2"/>
  <c r="AL45" i="2"/>
  <c r="AO45" i="2"/>
  <c r="AK45" i="2"/>
  <c r="AR45" i="2"/>
  <c r="AT45" i="2"/>
  <c r="AS45" i="2"/>
  <c r="AN45" i="2"/>
  <c r="AU45" i="2"/>
  <c r="AP45" i="2"/>
  <c r="AJ45" i="2"/>
  <c r="AQ45" i="2"/>
  <c r="AV45" i="2"/>
  <c r="AM45" i="2"/>
  <c r="AV45" i="11"/>
  <c r="AO45" i="11"/>
  <c r="AJ45" i="11"/>
  <c r="AU45" i="11"/>
  <c r="AM45" i="11"/>
  <c r="AR45" i="11"/>
  <c r="AL45" i="11"/>
  <c r="AK45" i="11"/>
  <c r="AN45" i="11"/>
  <c r="AQ45" i="11"/>
  <c r="AT45" i="11"/>
  <c r="AS45" i="11"/>
  <c r="AP45" i="11"/>
  <c r="AC45" i="2"/>
  <c r="AD45" i="2"/>
  <c r="AA45" i="2"/>
  <c r="AF45" i="2"/>
  <c r="AB45" i="2"/>
  <c r="T45" i="2"/>
  <c r="AE45" i="2"/>
  <c r="V45" i="2"/>
  <c r="X45" i="2"/>
  <c r="Y45" i="2"/>
  <c r="Z45" i="2"/>
  <c r="W45" i="2"/>
  <c r="U45" i="2"/>
  <c r="AD45" i="11"/>
  <c r="AB45" i="11"/>
  <c r="V45" i="11"/>
  <c r="AC45" i="11"/>
  <c r="W45" i="11"/>
  <c r="AE45" i="11"/>
  <c r="X45" i="11"/>
  <c r="Y45" i="11"/>
  <c r="AF45" i="11"/>
  <c r="Z45" i="11"/>
  <c r="U45" i="11"/>
  <c r="AA45" i="11"/>
  <c r="T45" i="11"/>
  <c r="N29" i="11"/>
  <c r="P29" i="11"/>
  <c r="M29" i="11"/>
  <c r="O29" i="11"/>
  <c r="AG20" i="2"/>
  <c r="L29" i="11"/>
  <c r="AW20" i="2"/>
  <c r="K29" i="11"/>
  <c r="G73" i="5"/>
  <c r="G88" i="6"/>
  <c r="G89" i="6"/>
  <c r="G95" i="6"/>
  <c r="G96" i="6"/>
  <c r="G99" i="6"/>
  <c r="F88" i="6"/>
  <c r="F89" i="6"/>
  <c r="F95" i="6"/>
  <c r="F96" i="6"/>
  <c r="F99" i="6"/>
  <c r="G71" i="5"/>
  <c r="G97" i="6"/>
  <c r="F97" i="6"/>
  <c r="AW92" i="2"/>
  <c r="AW88" i="2"/>
  <c r="AW98" i="2"/>
  <c r="AG87" i="2"/>
  <c r="AG86" i="2"/>
  <c r="AE94" i="11"/>
  <c r="S94" i="2"/>
  <c r="AG94" i="2"/>
  <c r="S94" i="11"/>
  <c r="AK94" i="2"/>
  <c r="AK94" i="11"/>
  <c r="AG53" i="2"/>
  <c r="AW53" i="2"/>
  <c r="AW87" i="2"/>
  <c r="AW45" i="2"/>
  <c r="AG45" i="2"/>
  <c r="AU118" i="2"/>
  <c r="B54" i="6"/>
  <c r="B55" i="6"/>
  <c r="B58" i="6"/>
  <c r="B59" i="6"/>
  <c r="B60" i="6"/>
  <c r="B61" i="6"/>
  <c r="B64" i="6"/>
  <c r="B40" i="6"/>
  <c r="B41" i="6"/>
  <c r="B42" i="6"/>
  <c r="B45" i="6"/>
  <c r="B46" i="6"/>
  <c r="B47" i="6"/>
  <c r="B48" i="6"/>
  <c r="B51" i="6"/>
  <c r="B26" i="6"/>
  <c r="B27" i="6"/>
  <c r="B28" i="6"/>
  <c r="B31" i="6"/>
  <c r="B18" i="6"/>
  <c r="B19" i="6"/>
  <c r="B20" i="6"/>
  <c r="B21" i="6"/>
  <c r="B23" i="6"/>
  <c r="B11" i="6"/>
  <c r="B57" i="7"/>
  <c r="B49" i="7"/>
  <c r="B45" i="7"/>
  <c r="B41" i="7"/>
  <c r="B37" i="7"/>
  <c r="C64" i="6"/>
  <c r="C61" i="6"/>
  <c r="C59" i="6"/>
  <c r="C56" i="6"/>
  <c r="C55" i="6"/>
  <c r="C54" i="6"/>
  <c r="C51" i="6"/>
  <c r="C48" i="6"/>
  <c r="C47" i="6"/>
  <c r="C46" i="6"/>
  <c r="C45" i="6"/>
  <c r="C42" i="6"/>
  <c r="C41" i="6"/>
  <c r="C40" i="6"/>
  <c r="C27" i="7"/>
  <c r="C31" i="6"/>
  <c r="C15" i="7"/>
  <c r="C28" i="6"/>
  <c r="C27" i="6"/>
  <c r="C9" i="7"/>
  <c r="C26" i="6"/>
  <c r="C23" i="6"/>
  <c r="C21" i="6"/>
  <c r="C20" i="6"/>
  <c r="C19" i="6"/>
  <c r="C18" i="6"/>
  <c r="F82" i="7"/>
  <c r="G82" i="7"/>
  <c r="F81" i="7"/>
  <c r="C57" i="7"/>
  <c r="C49" i="7"/>
  <c r="C48" i="3"/>
  <c r="C45" i="7"/>
  <c r="C34" i="6"/>
  <c r="C41" i="7"/>
  <c r="C37" i="7"/>
  <c r="C45" i="3"/>
  <c r="C68" i="6"/>
  <c r="C42" i="3"/>
  <c r="C73" i="6"/>
  <c r="C13" i="6"/>
  <c r="C71" i="6"/>
  <c r="C12" i="6"/>
  <c r="C70" i="6"/>
  <c r="S42" i="2"/>
  <c r="C11" i="6"/>
  <c r="C69" i="6"/>
  <c r="B32" i="6"/>
  <c r="C32" i="6"/>
  <c r="C49" i="2"/>
  <c r="I49" i="2"/>
  <c r="C49" i="11"/>
  <c r="S42" i="11"/>
  <c r="C46" i="2"/>
  <c r="P46" i="2"/>
  <c r="C46" i="11"/>
  <c r="C52" i="2"/>
  <c r="E52" i="2"/>
  <c r="C52" i="11"/>
  <c r="AM94" i="2"/>
  <c r="AM94" i="11"/>
  <c r="AL94" i="2"/>
  <c r="AL94" i="11"/>
  <c r="I46" i="2"/>
  <c r="E46" i="2"/>
  <c r="D46" i="2"/>
  <c r="C36" i="6"/>
  <c r="B35" i="6"/>
  <c r="G52" i="2"/>
  <c r="P52" i="2"/>
  <c r="N52" i="2"/>
  <c r="J52" i="2"/>
  <c r="I52" i="2"/>
  <c r="D49" i="2"/>
  <c r="C62" i="6"/>
  <c r="C57" i="6"/>
  <c r="C63" i="6"/>
  <c r="B29" i="7"/>
  <c r="G81" i="7"/>
  <c r="C10" i="6"/>
  <c r="C29" i="7"/>
  <c r="C60" i="6"/>
  <c r="C58" i="6"/>
  <c r="C35" i="6"/>
  <c r="B15" i="6"/>
  <c r="B34" i="6"/>
  <c r="C37" i="6"/>
  <c r="C33" i="6"/>
  <c r="C38" i="3"/>
  <c r="B10" i="6"/>
  <c r="B59" i="7"/>
  <c r="B74" i="6"/>
  <c r="B75" i="6"/>
  <c r="B13" i="6"/>
  <c r="B33" i="6"/>
  <c r="C15" i="6"/>
  <c r="B12" i="6"/>
  <c r="B37" i="6"/>
  <c r="B52" i="6"/>
  <c r="B24" i="6"/>
  <c r="B65" i="6"/>
  <c r="C40" i="3"/>
  <c r="C50" i="3"/>
  <c r="C39" i="3"/>
  <c r="C37" i="3"/>
  <c r="C46" i="3"/>
  <c r="C24" i="6"/>
  <c r="C54" i="3"/>
  <c r="C59" i="7"/>
  <c r="C74" i="6"/>
  <c r="C47" i="3"/>
  <c r="C52" i="6"/>
  <c r="C61" i="3"/>
  <c r="O52" i="2"/>
  <c r="F52" i="2"/>
  <c r="D52" i="2"/>
  <c r="M52" i="2"/>
  <c r="H52" i="2"/>
  <c r="N46" i="2"/>
  <c r="G46" i="2"/>
  <c r="F46" i="2"/>
  <c r="H46" i="2"/>
  <c r="O46" i="2"/>
  <c r="L46" i="2"/>
  <c r="M46" i="2"/>
  <c r="K46" i="2"/>
  <c r="J46" i="2"/>
  <c r="C75" i="6"/>
  <c r="C55" i="3"/>
  <c r="C59" i="11"/>
  <c r="K52" i="2"/>
  <c r="L52" i="2"/>
  <c r="N49" i="2"/>
  <c r="H49" i="2"/>
  <c r="L49" i="2"/>
  <c r="O49" i="2"/>
  <c r="J49" i="2"/>
  <c r="G49" i="2"/>
  <c r="F49" i="2"/>
  <c r="K49" i="2"/>
  <c r="P49" i="2"/>
  <c r="M49" i="2"/>
  <c r="E49" i="2"/>
  <c r="S50" i="11"/>
  <c r="S50" i="2"/>
  <c r="S51" i="11"/>
  <c r="S51" i="2"/>
  <c r="C51" i="2"/>
  <c r="H51" i="2"/>
  <c r="C51" i="11"/>
  <c r="C50" i="2"/>
  <c r="I50" i="2"/>
  <c r="C50" i="11"/>
  <c r="C41" i="2"/>
  <c r="P41" i="2"/>
  <c r="C41" i="11"/>
  <c r="C44" i="2"/>
  <c r="H44" i="2"/>
  <c r="C44" i="11"/>
  <c r="C42" i="2"/>
  <c r="C42" i="11"/>
  <c r="AF42" i="11"/>
  <c r="Z42" i="11"/>
  <c r="W42" i="11"/>
  <c r="AB42" i="11"/>
  <c r="U42" i="11"/>
  <c r="AC42" i="11"/>
  <c r="AD42" i="11"/>
  <c r="AA42" i="11"/>
  <c r="Y42" i="11"/>
  <c r="AE42" i="11"/>
  <c r="T42" i="11"/>
  <c r="V42" i="11"/>
  <c r="X42" i="11"/>
  <c r="S44" i="11"/>
  <c r="S44" i="2"/>
  <c r="AI42" i="11"/>
  <c r="AI42" i="2"/>
  <c r="T42" i="2"/>
  <c r="AE42" i="2"/>
  <c r="AA42" i="2"/>
  <c r="W42" i="2"/>
  <c r="AC42" i="2"/>
  <c r="X42" i="2"/>
  <c r="U42" i="2"/>
  <c r="V42" i="2"/>
  <c r="AF42" i="2"/>
  <c r="AB42" i="2"/>
  <c r="Y42" i="2"/>
  <c r="Z42" i="2"/>
  <c r="AD42" i="2"/>
  <c r="S43" i="11"/>
  <c r="S43" i="2"/>
  <c r="S41" i="11"/>
  <c r="S41" i="2"/>
  <c r="S49" i="11"/>
  <c r="S49" i="2"/>
  <c r="S54" i="11"/>
  <c r="S54" i="2"/>
  <c r="O46" i="11"/>
  <c r="F46" i="11"/>
  <c r="D46" i="11"/>
  <c r="M46" i="11"/>
  <c r="L46" i="11"/>
  <c r="N46" i="11"/>
  <c r="E46" i="11"/>
  <c r="I46" i="11"/>
  <c r="J46" i="11"/>
  <c r="P46" i="11"/>
  <c r="K46" i="11"/>
  <c r="G46" i="11"/>
  <c r="H46" i="11"/>
  <c r="K49" i="11"/>
  <c r="F49" i="11"/>
  <c r="P49" i="11"/>
  <c r="M49" i="11"/>
  <c r="L49" i="11"/>
  <c r="O49" i="11"/>
  <c r="G49" i="11"/>
  <c r="N49" i="11"/>
  <c r="I49" i="11"/>
  <c r="H49" i="11"/>
  <c r="D49" i="11"/>
  <c r="J49" i="11"/>
  <c r="E49" i="11"/>
  <c r="C54" i="2"/>
  <c r="M54" i="2"/>
  <c r="C54" i="11"/>
  <c r="P52" i="11"/>
  <c r="L52" i="11"/>
  <c r="O52" i="11"/>
  <c r="E52" i="11"/>
  <c r="H52" i="11"/>
  <c r="N52" i="11"/>
  <c r="J52" i="11"/>
  <c r="M52" i="11"/>
  <c r="F52" i="11"/>
  <c r="D52" i="11"/>
  <c r="I52" i="11"/>
  <c r="G52" i="11"/>
  <c r="K52" i="11"/>
  <c r="S52" i="11"/>
  <c r="S52" i="2"/>
  <c r="C43" i="2"/>
  <c r="M43" i="2"/>
  <c r="C43" i="11"/>
  <c r="C58" i="2"/>
  <c r="P58" i="2"/>
  <c r="C58" i="11"/>
  <c r="AI58" i="11"/>
  <c r="AI58" i="2"/>
  <c r="S58" i="11"/>
  <c r="S58" i="2"/>
  <c r="C16" i="6"/>
  <c r="C53" i="3"/>
  <c r="C57" i="11"/>
  <c r="AI65" i="11"/>
  <c r="AI65" i="2"/>
  <c r="S65" i="11"/>
  <c r="S65" i="2"/>
  <c r="C65" i="2"/>
  <c r="M65" i="2"/>
  <c r="C65" i="11"/>
  <c r="C59" i="2"/>
  <c r="G59" i="2"/>
  <c r="P54" i="2"/>
  <c r="K54" i="2"/>
  <c r="G54" i="2"/>
  <c r="E51" i="2"/>
  <c r="L51" i="2"/>
  <c r="F51" i="2"/>
  <c r="D51" i="2"/>
  <c r="G51" i="2"/>
  <c r="I51" i="2"/>
  <c r="J51" i="2"/>
  <c r="O51" i="2"/>
  <c r="N51" i="2"/>
  <c r="M51" i="2"/>
  <c r="F50" i="2"/>
  <c r="N41" i="2"/>
  <c r="O41" i="2"/>
  <c r="L41" i="2"/>
  <c r="K44" i="2"/>
  <c r="J44" i="2"/>
  <c r="G42" i="2"/>
  <c r="F42" i="2"/>
  <c r="L42" i="2"/>
  <c r="J42" i="2"/>
  <c r="O42" i="2"/>
  <c r="D42" i="2"/>
  <c r="E42" i="2"/>
  <c r="N42" i="2"/>
  <c r="H42" i="2"/>
  <c r="I42" i="2"/>
  <c r="K42" i="2"/>
  <c r="P42" i="2"/>
  <c r="M42" i="2"/>
  <c r="Q46" i="2"/>
  <c r="C65" i="6"/>
  <c r="C57" i="3"/>
  <c r="C38" i="6"/>
  <c r="C60" i="3"/>
  <c r="B16" i="6"/>
  <c r="B38" i="6"/>
  <c r="B84" i="6"/>
  <c r="B81" i="6"/>
  <c r="B78" i="6"/>
  <c r="C81" i="6"/>
  <c r="C58" i="3"/>
  <c r="C84" i="6"/>
  <c r="C59" i="3"/>
  <c r="C78" i="6"/>
  <c r="C56" i="3"/>
  <c r="Q52" i="2"/>
  <c r="G50" i="2"/>
  <c r="H50" i="2"/>
  <c r="D50" i="2"/>
  <c r="M50" i="2"/>
  <c r="N50" i="2"/>
  <c r="L50" i="2"/>
  <c r="E44" i="2"/>
  <c r="G44" i="2"/>
  <c r="D43" i="2"/>
  <c r="H58" i="2"/>
  <c r="O58" i="2"/>
  <c r="S59" i="11"/>
  <c r="AA59" i="11"/>
  <c r="S59" i="2"/>
  <c r="AE59" i="2"/>
  <c r="G41" i="2"/>
  <c r="F41" i="2"/>
  <c r="K41" i="2"/>
  <c r="J41" i="2"/>
  <c r="H41" i="2"/>
  <c r="M41" i="2"/>
  <c r="E41" i="2"/>
  <c r="I41" i="2"/>
  <c r="D41" i="2"/>
  <c r="Q41" i="2"/>
  <c r="P51" i="2"/>
  <c r="K51" i="2"/>
  <c r="K65" i="2"/>
  <c r="J58" i="2"/>
  <c r="E65" i="2"/>
  <c r="Q49" i="2"/>
  <c r="D44" i="2"/>
  <c r="L44" i="2"/>
  <c r="I65" i="2"/>
  <c r="C57" i="2"/>
  <c r="M57" i="2"/>
  <c r="J43" i="2"/>
  <c r="N43" i="2"/>
  <c r="AG42" i="2"/>
  <c r="F43" i="2"/>
  <c r="P43" i="2"/>
  <c r="L43" i="2"/>
  <c r="L47" i="2"/>
  <c r="G58" i="2"/>
  <c r="L58" i="2"/>
  <c r="K58" i="2"/>
  <c r="C47" i="2"/>
  <c r="G43" i="2"/>
  <c r="K43" i="2"/>
  <c r="K47" i="2"/>
  <c r="H43" i="2"/>
  <c r="O43" i="2"/>
  <c r="E58" i="2"/>
  <c r="N58" i="2"/>
  <c r="F58" i="2"/>
  <c r="C55" i="11"/>
  <c r="E43" i="2"/>
  <c r="E47" i="2"/>
  <c r="I43" i="2"/>
  <c r="M58" i="2"/>
  <c r="D58" i="2"/>
  <c r="I58" i="2"/>
  <c r="D44" i="11"/>
  <c r="N44" i="11"/>
  <c r="G44" i="11"/>
  <c r="J44" i="11"/>
  <c r="L44" i="11"/>
  <c r="K44" i="11"/>
  <c r="F44" i="11"/>
  <c r="H44" i="11"/>
  <c r="M44" i="11"/>
  <c r="P44" i="11"/>
  <c r="O44" i="11"/>
  <c r="E44" i="11"/>
  <c r="I44" i="11"/>
  <c r="D54" i="2"/>
  <c r="C55" i="2"/>
  <c r="Z52" i="11"/>
  <c r="V52" i="11"/>
  <c r="AD52" i="11"/>
  <c r="Y52" i="11"/>
  <c r="W52" i="11"/>
  <c r="AC52" i="11"/>
  <c r="U52" i="11"/>
  <c r="AE52" i="11"/>
  <c r="AA52" i="11"/>
  <c r="X52" i="11"/>
  <c r="T52" i="11"/>
  <c r="AF52" i="11"/>
  <c r="AB52" i="11"/>
  <c r="AE54" i="11"/>
  <c r="V54" i="11"/>
  <c r="AD54" i="11"/>
  <c r="Z54" i="11"/>
  <c r="AC54" i="11"/>
  <c r="Y54" i="11"/>
  <c r="AF54" i="11"/>
  <c r="AB54" i="11"/>
  <c r="U54" i="11"/>
  <c r="AA54" i="11"/>
  <c r="W54" i="11"/>
  <c r="T54" i="11"/>
  <c r="X54" i="11"/>
  <c r="AB41" i="11"/>
  <c r="Y41" i="11"/>
  <c r="U41" i="11"/>
  <c r="AC41" i="11"/>
  <c r="Z41" i="11"/>
  <c r="W41" i="11"/>
  <c r="AD41" i="11"/>
  <c r="AF41" i="11"/>
  <c r="X41" i="11"/>
  <c r="AA41" i="11"/>
  <c r="T41" i="11"/>
  <c r="AE41" i="11"/>
  <c r="V41" i="11"/>
  <c r="AQ42" i="2"/>
  <c r="AN42" i="2"/>
  <c r="AL42" i="2"/>
  <c r="AS42" i="2"/>
  <c r="AU42" i="2"/>
  <c r="AP42" i="2"/>
  <c r="AV42" i="2"/>
  <c r="AM42" i="2"/>
  <c r="AR42" i="2"/>
  <c r="AO42" i="2"/>
  <c r="AJ42" i="2"/>
  <c r="AT42" i="2"/>
  <c r="AK42" i="2"/>
  <c r="W51" i="11"/>
  <c r="T51" i="11"/>
  <c r="AD51" i="11"/>
  <c r="Z51" i="11"/>
  <c r="AE51" i="11"/>
  <c r="AB51" i="11"/>
  <c r="V51" i="11"/>
  <c r="AC51" i="11"/>
  <c r="AF51" i="11"/>
  <c r="Y51" i="11"/>
  <c r="AA51" i="11"/>
  <c r="X51" i="11"/>
  <c r="U51" i="11"/>
  <c r="AA51" i="2"/>
  <c r="AB51" i="2"/>
  <c r="U51" i="2"/>
  <c r="W51" i="2"/>
  <c r="Z51" i="2"/>
  <c r="AE51" i="2"/>
  <c r="AF51" i="2"/>
  <c r="Y51" i="2"/>
  <c r="AD51" i="2"/>
  <c r="T51" i="2"/>
  <c r="V51" i="2"/>
  <c r="AC51" i="2"/>
  <c r="X51" i="2"/>
  <c r="N44" i="2"/>
  <c r="O44" i="2"/>
  <c r="I44" i="2"/>
  <c r="P50" i="2"/>
  <c r="P55" i="2"/>
  <c r="O50" i="2"/>
  <c r="E50" i="2"/>
  <c r="O54" i="2"/>
  <c r="I54" i="2"/>
  <c r="E54" i="2"/>
  <c r="O43" i="11"/>
  <c r="F43" i="11"/>
  <c r="P43" i="11"/>
  <c r="M43" i="11"/>
  <c r="L43" i="11"/>
  <c r="G43" i="11"/>
  <c r="N43" i="11"/>
  <c r="I43" i="11"/>
  <c r="H43" i="11"/>
  <c r="K43" i="11"/>
  <c r="J43" i="11"/>
  <c r="E43" i="11"/>
  <c r="D43" i="11"/>
  <c r="AF49" i="2"/>
  <c r="AC49" i="2"/>
  <c r="Z49" i="2"/>
  <c r="AB49" i="2"/>
  <c r="AA49" i="2"/>
  <c r="T49" i="2"/>
  <c r="AD49" i="2"/>
  <c r="Y49" i="2"/>
  <c r="X49" i="2"/>
  <c r="U49" i="2"/>
  <c r="W49" i="2"/>
  <c r="AE49" i="2"/>
  <c r="V49" i="2"/>
  <c r="S55" i="2"/>
  <c r="AE43" i="2"/>
  <c r="AB43" i="2"/>
  <c r="Y43" i="2"/>
  <c r="U43" i="2"/>
  <c r="Z43" i="2"/>
  <c r="AF43" i="2"/>
  <c r="AC43" i="2"/>
  <c r="X43" i="2"/>
  <c r="W43" i="2"/>
  <c r="T43" i="2"/>
  <c r="V43" i="2"/>
  <c r="AD43" i="2"/>
  <c r="AA43" i="2"/>
  <c r="AU42" i="11"/>
  <c r="AS42" i="11"/>
  <c r="AT42" i="11"/>
  <c r="AN42" i="11"/>
  <c r="AP42" i="11"/>
  <c r="AV42" i="11"/>
  <c r="AJ42" i="11"/>
  <c r="AL42" i="11"/>
  <c r="AM42" i="11"/>
  <c r="AO42" i="11"/>
  <c r="AQ42" i="11"/>
  <c r="AK42" i="11"/>
  <c r="AR42" i="11"/>
  <c r="O42" i="11"/>
  <c r="L42" i="11"/>
  <c r="F42" i="11"/>
  <c r="P42" i="11"/>
  <c r="E42" i="11"/>
  <c r="G42" i="11"/>
  <c r="N42" i="11"/>
  <c r="I42" i="11"/>
  <c r="K42" i="11"/>
  <c r="M42" i="11"/>
  <c r="H42" i="11"/>
  <c r="J42" i="11"/>
  <c r="D42" i="11"/>
  <c r="P41" i="11"/>
  <c r="E41" i="11"/>
  <c r="N41" i="11"/>
  <c r="M41" i="11"/>
  <c r="G41" i="11"/>
  <c r="D41" i="11"/>
  <c r="F41" i="11"/>
  <c r="K41" i="11"/>
  <c r="H41" i="11"/>
  <c r="J41" i="11"/>
  <c r="O41" i="11"/>
  <c r="L41" i="11"/>
  <c r="I41" i="11"/>
  <c r="C47" i="11"/>
  <c r="N51" i="11"/>
  <c r="J51" i="11"/>
  <c r="I51" i="11"/>
  <c r="P51" i="11"/>
  <c r="M51" i="11"/>
  <c r="F51" i="11"/>
  <c r="K51" i="11"/>
  <c r="E51" i="11"/>
  <c r="G51" i="11"/>
  <c r="H51" i="11"/>
  <c r="O51" i="11"/>
  <c r="L51" i="11"/>
  <c r="D51" i="11"/>
  <c r="AF50" i="2"/>
  <c r="W50" i="2"/>
  <c r="AA50" i="2"/>
  <c r="AD50" i="2"/>
  <c r="T50" i="2"/>
  <c r="U50" i="2"/>
  <c r="V50" i="2"/>
  <c r="AE50" i="2"/>
  <c r="AC50" i="2"/>
  <c r="X50" i="2"/>
  <c r="Y50" i="2"/>
  <c r="Z50" i="2"/>
  <c r="AB50" i="2"/>
  <c r="AC52" i="2"/>
  <c r="Y52" i="2"/>
  <c r="AF52" i="2"/>
  <c r="V52" i="2"/>
  <c r="W52" i="2"/>
  <c r="T52" i="2"/>
  <c r="U52" i="2"/>
  <c r="Z52" i="2"/>
  <c r="AA52" i="2"/>
  <c r="X52" i="2"/>
  <c r="AD52" i="2"/>
  <c r="AE52" i="2"/>
  <c r="AB52" i="2"/>
  <c r="T54" i="2"/>
  <c r="U54" i="2"/>
  <c r="V54" i="2"/>
  <c r="AE54" i="2"/>
  <c r="W54" i="2"/>
  <c r="X54" i="2"/>
  <c r="Y54" i="2"/>
  <c r="Z54" i="2"/>
  <c r="AA54" i="2"/>
  <c r="AB54" i="2"/>
  <c r="AC54" i="2"/>
  <c r="AD54" i="2"/>
  <c r="AF54" i="2"/>
  <c r="W41" i="2"/>
  <c r="T41" i="2"/>
  <c r="AD41" i="2"/>
  <c r="AC41" i="2"/>
  <c r="X41" i="2"/>
  <c r="U41" i="2"/>
  <c r="AA41" i="2"/>
  <c r="AE41" i="2"/>
  <c r="AF41" i="2"/>
  <c r="AB41" i="2"/>
  <c r="Y41" i="2"/>
  <c r="V41" i="2"/>
  <c r="Z41" i="2"/>
  <c r="AE44" i="11"/>
  <c r="W44" i="11"/>
  <c r="AF44" i="11"/>
  <c r="U44" i="11"/>
  <c r="Y44" i="11"/>
  <c r="V44" i="11"/>
  <c r="AA44" i="11"/>
  <c r="AB44" i="11"/>
  <c r="X44" i="11"/>
  <c r="T44" i="11"/>
  <c r="AD44" i="11"/>
  <c r="AC44" i="11"/>
  <c r="Z44" i="11"/>
  <c r="J50" i="11"/>
  <c r="P50" i="11"/>
  <c r="G50" i="11"/>
  <c r="F50" i="11"/>
  <c r="K50" i="11"/>
  <c r="H50" i="11"/>
  <c r="M50" i="11"/>
  <c r="I50" i="11"/>
  <c r="O50" i="11"/>
  <c r="N50" i="11"/>
  <c r="D50" i="11"/>
  <c r="E50" i="11"/>
  <c r="L50" i="11"/>
  <c r="F54" i="2"/>
  <c r="F55" i="2"/>
  <c r="H54" i="2"/>
  <c r="AI46" i="11"/>
  <c r="AI46" i="2"/>
  <c r="S46" i="11"/>
  <c r="S46" i="2"/>
  <c r="S47" i="2"/>
  <c r="F44" i="2"/>
  <c r="P44" i="2"/>
  <c r="M44" i="2"/>
  <c r="J50" i="2"/>
  <c r="K50" i="2"/>
  <c r="N54" i="2"/>
  <c r="L54" i="2"/>
  <c r="J54" i="2"/>
  <c r="J55" i="2"/>
  <c r="L54" i="11"/>
  <c r="E54" i="11"/>
  <c r="P54" i="11"/>
  <c r="J54" i="11"/>
  <c r="G54" i="11"/>
  <c r="K54" i="11"/>
  <c r="F54" i="11"/>
  <c r="O54" i="11"/>
  <c r="H54" i="11"/>
  <c r="D54" i="11"/>
  <c r="N54" i="11"/>
  <c r="M54" i="11"/>
  <c r="M55" i="11"/>
  <c r="I54" i="11"/>
  <c r="AB49" i="11"/>
  <c r="V49" i="11"/>
  <c r="AC49" i="11"/>
  <c r="Z49" i="11"/>
  <c r="AD49" i="11"/>
  <c r="AF49" i="11"/>
  <c r="T49" i="11"/>
  <c r="AE49" i="11"/>
  <c r="Y49" i="11"/>
  <c r="X49" i="11"/>
  <c r="U49" i="11"/>
  <c r="W49" i="11"/>
  <c r="AA49" i="11"/>
  <c r="S55" i="11"/>
  <c r="AF43" i="11"/>
  <c r="X43" i="11"/>
  <c r="V43" i="11"/>
  <c r="U43" i="11"/>
  <c r="AE43" i="11"/>
  <c r="Z43" i="11"/>
  <c r="AD43" i="11"/>
  <c r="Y43" i="11"/>
  <c r="W43" i="11"/>
  <c r="T43" i="11"/>
  <c r="AC43" i="11"/>
  <c r="AA43" i="11"/>
  <c r="AB43" i="11"/>
  <c r="AD44" i="2"/>
  <c r="AE44" i="2"/>
  <c r="AB44" i="2"/>
  <c r="X44" i="2"/>
  <c r="Y44" i="2"/>
  <c r="U44" i="2"/>
  <c r="AF44" i="2"/>
  <c r="AA44" i="2"/>
  <c r="V44" i="2"/>
  <c r="W44" i="2"/>
  <c r="T44" i="2"/>
  <c r="AC44" i="2"/>
  <c r="Z44" i="2"/>
  <c r="AE50" i="11"/>
  <c r="V50" i="11"/>
  <c r="AF50" i="11"/>
  <c r="W50" i="11"/>
  <c r="AC50" i="11"/>
  <c r="AB50" i="11"/>
  <c r="AD50" i="11"/>
  <c r="Y50" i="11"/>
  <c r="X50" i="11"/>
  <c r="AA50" i="11"/>
  <c r="Z50" i="11"/>
  <c r="U50" i="11"/>
  <c r="T50" i="11"/>
  <c r="AN94" i="2"/>
  <c r="AN94" i="11"/>
  <c r="AO94" i="2"/>
  <c r="AO94" i="11"/>
  <c r="M59" i="2"/>
  <c r="P59" i="2"/>
  <c r="AJ58" i="2"/>
  <c r="AQ58" i="2"/>
  <c r="AL58" i="2"/>
  <c r="AV58" i="2"/>
  <c r="AO58" i="2"/>
  <c r="AN58" i="2"/>
  <c r="AP58" i="2"/>
  <c r="AM58" i="2"/>
  <c r="AS58" i="2"/>
  <c r="AR58" i="2"/>
  <c r="AT58" i="2"/>
  <c r="AU58" i="2"/>
  <c r="AK58" i="2"/>
  <c r="AU58" i="11"/>
  <c r="AJ58" i="11"/>
  <c r="AO58" i="11"/>
  <c r="AM58" i="11"/>
  <c r="AK58" i="11"/>
  <c r="AP58" i="11"/>
  <c r="AV58" i="11"/>
  <c r="AN58" i="11"/>
  <c r="AS58" i="11"/>
  <c r="AT58" i="11"/>
  <c r="AR58" i="11"/>
  <c r="AL58" i="11"/>
  <c r="AQ58" i="11"/>
  <c r="Y58" i="2"/>
  <c r="Z58" i="2"/>
  <c r="W58" i="2"/>
  <c r="AF58" i="2"/>
  <c r="AC58" i="2"/>
  <c r="AD58" i="2"/>
  <c r="AA58" i="2"/>
  <c r="U58" i="2"/>
  <c r="AB58" i="2"/>
  <c r="X58" i="2"/>
  <c r="T58" i="2"/>
  <c r="AE58" i="2"/>
  <c r="V58" i="2"/>
  <c r="J58" i="11"/>
  <c r="E58" i="11"/>
  <c r="D58" i="11"/>
  <c r="N58" i="11"/>
  <c r="M58" i="11"/>
  <c r="L58" i="11"/>
  <c r="O58" i="11"/>
  <c r="I58" i="11"/>
  <c r="H58" i="11"/>
  <c r="F58" i="11"/>
  <c r="P58" i="11"/>
  <c r="K58" i="11"/>
  <c r="G58" i="11"/>
  <c r="Z58" i="11"/>
  <c r="U58" i="11"/>
  <c r="W58" i="11"/>
  <c r="AA58" i="11"/>
  <c r="AC58" i="11"/>
  <c r="X58" i="11"/>
  <c r="T58" i="11"/>
  <c r="AD58" i="11"/>
  <c r="Y58" i="11"/>
  <c r="AE58" i="11"/>
  <c r="V58" i="11"/>
  <c r="AF58" i="11"/>
  <c r="AB58" i="11"/>
  <c r="H65" i="2"/>
  <c r="L65" i="2"/>
  <c r="P65" i="2"/>
  <c r="F59" i="2"/>
  <c r="K59" i="2"/>
  <c r="N59" i="2"/>
  <c r="F65" i="2"/>
  <c r="O65" i="2"/>
  <c r="G65" i="2"/>
  <c r="D59" i="2"/>
  <c r="E59" i="2"/>
  <c r="I59" i="2"/>
  <c r="N65" i="2"/>
  <c r="D65" i="2"/>
  <c r="J65" i="2"/>
  <c r="L59" i="2"/>
  <c r="J59" i="2"/>
  <c r="H59" i="2"/>
  <c r="AK65" i="2"/>
  <c r="AJ65" i="2"/>
  <c r="AU65" i="2"/>
  <c r="AP65" i="2"/>
  <c r="AO65" i="2"/>
  <c r="AV65" i="2"/>
  <c r="AQ65" i="2"/>
  <c r="AL65" i="2"/>
  <c r="AN65" i="2"/>
  <c r="AM65" i="2"/>
  <c r="AR65" i="2"/>
  <c r="AT65" i="2"/>
  <c r="AS65" i="2"/>
  <c r="AS65" i="11"/>
  <c r="AN65" i="11"/>
  <c r="AL65" i="11"/>
  <c r="AT65" i="11"/>
  <c r="AM65" i="11"/>
  <c r="AV65" i="11"/>
  <c r="AO65" i="11"/>
  <c r="AQ65" i="11"/>
  <c r="AU65" i="11"/>
  <c r="AP65" i="11"/>
  <c r="AJ65" i="11"/>
  <c r="AR65" i="11"/>
  <c r="AK65" i="11"/>
  <c r="S60" i="11"/>
  <c r="S60" i="2"/>
  <c r="T59" i="2"/>
  <c r="S57" i="11"/>
  <c r="S57" i="2"/>
  <c r="AF59" i="11"/>
  <c r="S61" i="11"/>
  <c r="S61" i="2"/>
  <c r="U65" i="2"/>
  <c r="Y65" i="2"/>
  <c r="AF65" i="2"/>
  <c r="V65" i="2"/>
  <c r="W65" i="2"/>
  <c r="T65" i="2"/>
  <c r="AC65" i="2"/>
  <c r="Z65" i="2"/>
  <c r="AA65" i="2"/>
  <c r="X65" i="2"/>
  <c r="AD65" i="2"/>
  <c r="AE65" i="2"/>
  <c r="AB65" i="2"/>
  <c r="S64" i="11"/>
  <c r="S64" i="2"/>
  <c r="Y65" i="11"/>
  <c r="AC65" i="11"/>
  <c r="W65" i="11"/>
  <c r="AE65" i="11"/>
  <c r="U65" i="11"/>
  <c r="V65" i="11"/>
  <c r="AA65" i="11"/>
  <c r="AF65" i="11"/>
  <c r="AB65" i="11"/>
  <c r="Z65" i="11"/>
  <c r="X65" i="11"/>
  <c r="T65" i="11"/>
  <c r="AD65" i="11"/>
  <c r="C63" i="2"/>
  <c r="L63" i="2"/>
  <c r="C63" i="11"/>
  <c r="K57" i="11"/>
  <c r="F57" i="11"/>
  <c r="P57" i="11"/>
  <c r="M57" i="11"/>
  <c r="H57" i="11"/>
  <c r="L57" i="11"/>
  <c r="N57" i="11"/>
  <c r="I57" i="11"/>
  <c r="O57" i="11"/>
  <c r="D57" i="11"/>
  <c r="J57" i="11"/>
  <c r="E57" i="11"/>
  <c r="G57" i="11"/>
  <c r="C64" i="2"/>
  <c r="P64" i="2"/>
  <c r="C64" i="11"/>
  <c r="C62" i="2"/>
  <c r="E62" i="2"/>
  <c r="C62" i="11"/>
  <c r="O59" i="2"/>
  <c r="O59" i="11"/>
  <c r="F59" i="11"/>
  <c r="I59" i="11"/>
  <c r="D59" i="11"/>
  <c r="K59" i="11"/>
  <c r="L59" i="11"/>
  <c r="N59" i="11"/>
  <c r="E59" i="11"/>
  <c r="H59" i="11"/>
  <c r="J59" i="11"/>
  <c r="M59" i="11"/>
  <c r="G59" i="11"/>
  <c r="P59" i="11"/>
  <c r="K65" i="11"/>
  <c r="N65" i="11"/>
  <c r="I65" i="11"/>
  <c r="O65" i="11"/>
  <c r="J65" i="11"/>
  <c r="E65" i="11"/>
  <c r="G65" i="11"/>
  <c r="F65" i="11"/>
  <c r="P65" i="11"/>
  <c r="L65" i="11"/>
  <c r="M65" i="11"/>
  <c r="H65" i="11"/>
  <c r="D65" i="11"/>
  <c r="C60" i="2"/>
  <c r="K60" i="2"/>
  <c r="C60" i="11"/>
  <c r="C61" i="2"/>
  <c r="G61" i="2"/>
  <c r="C61" i="11"/>
  <c r="M55" i="2"/>
  <c r="I55" i="2"/>
  <c r="D47" i="2"/>
  <c r="H55" i="2"/>
  <c r="H47" i="2"/>
  <c r="M47" i="2"/>
  <c r="O55" i="2"/>
  <c r="Q42" i="2"/>
  <c r="P47" i="2"/>
  <c r="G55" i="2"/>
  <c r="Q51" i="2"/>
  <c r="N55" i="2"/>
  <c r="D55" i="2"/>
  <c r="E64" i="2"/>
  <c r="G47" i="2"/>
  <c r="M61" i="2"/>
  <c r="T59" i="11"/>
  <c r="W59" i="11"/>
  <c r="V59" i="11"/>
  <c r="Y59" i="11"/>
  <c r="AB59" i="11"/>
  <c r="Y59" i="2"/>
  <c r="E55" i="2"/>
  <c r="AE59" i="11"/>
  <c r="X59" i="11"/>
  <c r="AC59" i="11"/>
  <c r="Z59" i="11"/>
  <c r="U59" i="11"/>
  <c r="AD59" i="11"/>
  <c r="U59" i="2"/>
  <c r="AD59" i="2"/>
  <c r="X59" i="2"/>
  <c r="Z59" i="2"/>
  <c r="W59" i="2"/>
  <c r="AC59" i="2"/>
  <c r="AB59" i="2"/>
  <c r="AA59" i="2"/>
  <c r="AF59" i="2"/>
  <c r="V59" i="2"/>
  <c r="Z55" i="11"/>
  <c r="Q44" i="2"/>
  <c r="N47" i="2"/>
  <c r="I47" i="2"/>
  <c r="J47" i="2"/>
  <c r="N64" i="2"/>
  <c r="Q54" i="2"/>
  <c r="AE55" i="11"/>
  <c r="N55" i="11"/>
  <c r="H55" i="11"/>
  <c r="Q50" i="2"/>
  <c r="J55" i="11"/>
  <c r="Q58" i="2"/>
  <c r="N63" i="2"/>
  <c r="I57" i="2"/>
  <c r="K57" i="2"/>
  <c r="J57" i="2"/>
  <c r="N57" i="2"/>
  <c r="G57" i="2"/>
  <c r="O57" i="2"/>
  <c r="H60" i="2"/>
  <c r="H57" i="2"/>
  <c r="P57" i="2"/>
  <c r="L57" i="2"/>
  <c r="F47" i="2"/>
  <c r="F47" i="11"/>
  <c r="G47" i="11"/>
  <c r="G62" i="2"/>
  <c r="K47" i="11"/>
  <c r="D62" i="2"/>
  <c r="O47" i="2"/>
  <c r="D57" i="2"/>
  <c r="E57" i="2"/>
  <c r="F57" i="2"/>
  <c r="I60" i="2"/>
  <c r="N60" i="2"/>
  <c r="O62" i="2"/>
  <c r="F60" i="2"/>
  <c r="Q43" i="2"/>
  <c r="N62" i="2"/>
  <c r="E63" i="2"/>
  <c r="K63" i="2"/>
  <c r="O63" i="2"/>
  <c r="J60" i="2"/>
  <c r="G60" i="2"/>
  <c r="M60" i="2"/>
  <c r="O60" i="2"/>
  <c r="E60" i="2"/>
  <c r="L60" i="2"/>
  <c r="H62" i="2"/>
  <c r="Q59" i="2"/>
  <c r="P60" i="2"/>
  <c r="D60" i="2"/>
  <c r="I62" i="2"/>
  <c r="L62" i="2"/>
  <c r="I63" i="2"/>
  <c r="F63" i="2"/>
  <c r="D63" i="2"/>
  <c r="K55" i="2"/>
  <c r="K61" i="2"/>
  <c r="L55" i="2"/>
  <c r="P62" i="2"/>
  <c r="K62" i="2"/>
  <c r="J62" i="2"/>
  <c r="L55" i="11"/>
  <c r="O55" i="11"/>
  <c r="K55" i="11"/>
  <c r="P55" i="11"/>
  <c r="G63" i="2"/>
  <c r="H63" i="2"/>
  <c r="M63" i="2"/>
  <c r="D61" i="2"/>
  <c r="F62" i="2"/>
  <c r="M62" i="2"/>
  <c r="E55" i="11"/>
  <c r="I55" i="11"/>
  <c r="F55" i="11"/>
  <c r="I47" i="11"/>
  <c r="H47" i="11"/>
  <c r="P47" i="11"/>
  <c r="AW42" i="2"/>
  <c r="P63" i="2"/>
  <c r="J63" i="2"/>
  <c r="J61" i="2"/>
  <c r="D55" i="11"/>
  <c r="G55" i="11"/>
  <c r="W55" i="11"/>
  <c r="AK46" i="2"/>
  <c r="AJ46" i="2"/>
  <c r="AM46" i="2"/>
  <c r="AT46" i="2"/>
  <c r="AQ46" i="2"/>
  <c r="AP46" i="2"/>
  <c r="AS46" i="2"/>
  <c r="AR46" i="2"/>
  <c r="AU46" i="2"/>
  <c r="AV46" i="2"/>
  <c r="AL46" i="2"/>
  <c r="AO46" i="2"/>
  <c r="AN46" i="2"/>
  <c r="AG41" i="2"/>
  <c r="U55" i="2"/>
  <c r="AG49" i="2"/>
  <c r="T55" i="2"/>
  <c r="AC55" i="2"/>
  <c r="AI44" i="11"/>
  <c r="AI44" i="2"/>
  <c r="AI49" i="11"/>
  <c r="AI49" i="2"/>
  <c r="I61" i="2"/>
  <c r="F61" i="2"/>
  <c r="E61" i="2"/>
  <c r="U55" i="11"/>
  <c r="T55" i="11"/>
  <c r="AC55" i="11"/>
  <c r="AP46" i="11"/>
  <c r="AK46" i="11"/>
  <c r="AJ46" i="11"/>
  <c r="AL46" i="11"/>
  <c r="AM46" i="11"/>
  <c r="AV46" i="11"/>
  <c r="AQ46" i="11"/>
  <c r="AT46" i="11"/>
  <c r="AU46" i="11"/>
  <c r="AS46" i="11"/>
  <c r="AR46" i="11"/>
  <c r="AN46" i="11"/>
  <c r="AO46" i="11"/>
  <c r="AG50" i="2"/>
  <c r="L47" i="11"/>
  <c r="M47" i="11"/>
  <c r="V55" i="2"/>
  <c r="X55" i="2"/>
  <c r="AA55" i="2"/>
  <c r="AF55" i="2"/>
  <c r="AI51" i="11"/>
  <c r="AI51" i="2"/>
  <c r="AI43" i="11"/>
  <c r="AI43" i="2"/>
  <c r="N61" i="2"/>
  <c r="L61" i="2"/>
  <c r="P61" i="2"/>
  <c r="AG44" i="2"/>
  <c r="X55" i="11"/>
  <c r="AF55" i="11"/>
  <c r="V55" i="11"/>
  <c r="X46" i="2"/>
  <c r="X47" i="2"/>
  <c r="Y46" i="2"/>
  <c r="Y47" i="2"/>
  <c r="Z46" i="2"/>
  <c r="Z47" i="2"/>
  <c r="V46" i="2"/>
  <c r="V47" i="2"/>
  <c r="AB46" i="2"/>
  <c r="AB47" i="2"/>
  <c r="AC46" i="2"/>
  <c r="AD46" i="2"/>
  <c r="U46" i="2"/>
  <c r="U47" i="2"/>
  <c r="AF46" i="2"/>
  <c r="AF47" i="2"/>
  <c r="AA46" i="2"/>
  <c r="W46" i="2"/>
  <c r="W47" i="2"/>
  <c r="T46" i="2"/>
  <c r="AE46" i="2"/>
  <c r="AE47" i="2"/>
  <c r="AC47" i="2"/>
  <c r="AG54" i="2"/>
  <c r="O47" i="11"/>
  <c r="N47" i="11"/>
  <c r="AG43" i="2"/>
  <c r="AE55" i="2"/>
  <c r="Y55" i="2"/>
  <c r="AB55" i="2"/>
  <c r="AI50" i="11"/>
  <c r="AI50" i="2"/>
  <c r="AI52" i="11"/>
  <c r="AI52" i="2"/>
  <c r="AI54" i="11"/>
  <c r="AI54" i="2"/>
  <c r="AI41" i="11"/>
  <c r="AI41" i="2"/>
  <c r="H61" i="2"/>
  <c r="O61" i="2"/>
  <c r="AA55" i="11"/>
  <c r="Y55" i="11"/>
  <c r="AD55" i="11"/>
  <c r="AB55" i="11"/>
  <c r="W46" i="11"/>
  <c r="W47" i="11"/>
  <c r="Z46" i="11"/>
  <c r="Z47" i="11"/>
  <c r="AA46" i="11"/>
  <c r="AA47" i="11"/>
  <c r="X46" i="11"/>
  <c r="X47" i="11"/>
  <c r="AC46" i="11"/>
  <c r="AC47" i="11"/>
  <c r="U46" i="11"/>
  <c r="U47" i="11"/>
  <c r="T46" i="11"/>
  <c r="T47" i="11"/>
  <c r="AF46" i="11"/>
  <c r="AF47" i="11"/>
  <c r="Y46" i="11"/>
  <c r="V46" i="11"/>
  <c r="V47" i="11"/>
  <c r="AB46" i="11"/>
  <c r="AB47" i="11"/>
  <c r="AE46" i="11"/>
  <c r="AE47" i="11"/>
  <c r="AD46" i="11"/>
  <c r="AD47" i="11"/>
  <c r="AA47" i="2"/>
  <c r="AD47" i="2"/>
  <c r="AG52" i="2"/>
  <c r="J47" i="11"/>
  <c r="D47" i="11"/>
  <c r="E47" i="11"/>
  <c r="W55" i="2"/>
  <c r="AD55" i="2"/>
  <c r="Z55" i="2"/>
  <c r="AG51" i="2"/>
  <c r="S47" i="11"/>
  <c r="Y47" i="11"/>
  <c r="C66" i="11"/>
  <c r="O64" i="2"/>
  <c r="Q65" i="2"/>
  <c r="AG58" i="2"/>
  <c r="AW58" i="2"/>
  <c r="C66" i="2"/>
  <c r="M64" i="2"/>
  <c r="D64" i="2"/>
  <c r="H64" i="2"/>
  <c r="J64" i="2"/>
  <c r="K64" i="2"/>
  <c r="L64" i="2"/>
  <c r="G64" i="2"/>
  <c r="I64" i="2"/>
  <c r="F64" i="2"/>
  <c r="AI61" i="11"/>
  <c r="AI61" i="2"/>
  <c r="AI59" i="11"/>
  <c r="AI59" i="2"/>
  <c r="AW65" i="2"/>
  <c r="S62" i="11"/>
  <c r="S62" i="2"/>
  <c r="AD61" i="2"/>
  <c r="AE61" i="2"/>
  <c r="AB61" i="2"/>
  <c r="Y61" i="2"/>
  <c r="AC61" i="2"/>
  <c r="AF61" i="2"/>
  <c r="V61" i="2"/>
  <c r="W61" i="2"/>
  <c r="T61" i="2"/>
  <c r="U61" i="2"/>
  <c r="Z61" i="2"/>
  <c r="AA61" i="2"/>
  <c r="X61" i="2"/>
  <c r="AE57" i="11"/>
  <c r="X57" i="11"/>
  <c r="T57" i="11"/>
  <c r="Y57" i="11"/>
  <c r="V57" i="11"/>
  <c r="W57" i="11"/>
  <c r="AC57" i="11"/>
  <c r="Z57" i="11"/>
  <c r="AA57" i="11"/>
  <c r="U57" i="11"/>
  <c r="AB57" i="11"/>
  <c r="AD57" i="11"/>
  <c r="AF57" i="11"/>
  <c r="W64" i="2"/>
  <c r="T64" i="2"/>
  <c r="Z64" i="2"/>
  <c r="AD64" i="2"/>
  <c r="AA64" i="2"/>
  <c r="X64" i="2"/>
  <c r="U64" i="2"/>
  <c r="AE64" i="2"/>
  <c r="AB64" i="2"/>
  <c r="Y64" i="2"/>
  <c r="V64" i="2"/>
  <c r="AF64" i="2"/>
  <c r="AC64" i="2"/>
  <c r="Y61" i="11"/>
  <c r="X61" i="11"/>
  <c r="T61" i="11"/>
  <c r="Z61" i="11"/>
  <c r="W61" i="11"/>
  <c r="AC61" i="11"/>
  <c r="AD61" i="11"/>
  <c r="AA61" i="11"/>
  <c r="AE61" i="11"/>
  <c r="U61" i="11"/>
  <c r="AF61" i="11"/>
  <c r="AB61" i="11"/>
  <c r="V61" i="11"/>
  <c r="AE64" i="11"/>
  <c r="V64" i="11"/>
  <c r="T64" i="11"/>
  <c r="Y64" i="11"/>
  <c r="AC64" i="11"/>
  <c r="U64" i="11"/>
  <c r="AA64" i="11"/>
  <c r="Z64" i="11"/>
  <c r="AF64" i="11"/>
  <c r="AD64" i="11"/>
  <c r="AB64" i="11"/>
  <c r="X64" i="11"/>
  <c r="W64" i="11"/>
  <c r="AG65" i="2"/>
  <c r="V60" i="2"/>
  <c r="AF60" i="2"/>
  <c r="AC60" i="2"/>
  <c r="W60" i="2"/>
  <c r="T60" i="2"/>
  <c r="AD60" i="2"/>
  <c r="Z60" i="2"/>
  <c r="AA60" i="2"/>
  <c r="X60" i="2"/>
  <c r="U60" i="2"/>
  <c r="AE60" i="2"/>
  <c r="AB60" i="2"/>
  <c r="Y60" i="2"/>
  <c r="S63" i="11"/>
  <c r="S63" i="2"/>
  <c r="Z57" i="2"/>
  <c r="W57" i="2"/>
  <c r="X57" i="2"/>
  <c r="AD57" i="2"/>
  <c r="AA57" i="2"/>
  <c r="AB57" i="2"/>
  <c r="U57" i="2"/>
  <c r="AE57" i="2"/>
  <c r="AF57" i="2"/>
  <c r="V57" i="2"/>
  <c r="T57" i="2"/>
  <c r="Y57" i="2"/>
  <c r="AC57" i="2"/>
  <c r="AE60" i="11"/>
  <c r="V60" i="11"/>
  <c r="AC60" i="11"/>
  <c r="T60" i="11"/>
  <c r="AB60" i="11"/>
  <c r="Y60" i="11"/>
  <c r="W60" i="11"/>
  <c r="AF60" i="11"/>
  <c r="Z60" i="11"/>
  <c r="AD60" i="11"/>
  <c r="AA60" i="11"/>
  <c r="U60" i="11"/>
  <c r="X60" i="11"/>
  <c r="J62" i="11"/>
  <c r="I62" i="11"/>
  <c r="H62" i="11"/>
  <c r="E62" i="11"/>
  <c r="D62" i="11"/>
  <c r="P62" i="11"/>
  <c r="K62" i="11"/>
  <c r="F62" i="11"/>
  <c r="G62" i="11"/>
  <c r="M62" i="11"/>
  <c r="L62" i="11"/>
  <c r="N62" i="11"/>
  <c r="O62" i="11"/>
  <c r="M61" i="11"/>
  <c r="H61" i="11"/>
  <c r="D61" i="11"/>
  <c r="N61" i="11"/>
  <c r="I61" i="11"/>
  <c r="O61" i="11"/>
  <c r="K61" i="11"/>
  <c r="J61" i="11"/>
  <c r="E61" i="11"/>
  <c r="G61" i="11"/>
  <c r="F61" i="11"/>
  <c r="P61" i="11"/>
  <c r="L61" i="11"/>
  <c r="P64" i="11"/>
  <c r="L64" i="11"/>
  <c r="M64" i="11"/>
  <c r="F64" i="11"/>
  <c r="H64" i="11"/>
  <c r="J64" i="11"/>
  <c r="K64" i="11"/>
  <c r="D64" i="11"/>
  <c r="I64" i="11"/>
  <c r="N64" i="11"/>
  <c r="G64" i="11"/>
  <c r="O64" i="11"/>
  <c r="E64" i="11"/>
  <c r="O63" i="11"/>
  <c r="E63" i="11"/>
  <c r="L63" i="11"/>
  <c r="D63" i="11"/>
  <c r="K63" i="11"/>
  <c r="F63" i="11"/>
  <c r="J63" i="11"/>
  <c r="P63" i="11"/>
  <c r="H63" i="11"/>
  <c r="N63" i="11"/>
  <c r="I63" i="11"/>
  <c r="M63" i="11"/>
  <c r="G63" i="11"/>
  <c r="O60" i="11"/>
  <c r="M60" i="11"/>
  <c r="H60" i="11"/>
  <c r="L60" i="11"/>
  <c r="G60" i="11"/>
  <c r="P60" i="11"/>
  <c r="F60" i="11"/>
  <c r="K60" i="11"/>
  <c r="N60" i="11"/>
  <c r="E60" i="11"/>
  <c r="J60" i="11"/>
  <c r="I60" i="11"/>
  <c r="D60" i="11"/>
  <c r="AG59" i="2"/>
  <c r="Q47" i="2"/>
  <c r="Q55" i="2"/>
  <c r="F66" i="2"/>
  <c r="N66" i="2"/>
  <c r="E66" i="2"/>
  <c r="S66" i="2"/>
  <c r="Q57" i="2"/>
  <c r="P66" i="2"/>
  <c r="Q62" i="2"/>
  <c r="L66" i="2"/>
  <c r="Q63" i="2"/>
  <c r="L66" i="11"/>
  <c r="O66" i="2"/>
  <c r="Q60" i="2"/>
  <c r="G66" i="2"/>
  <c r="I66" i="2"/>
  <c r="D66" i="2"/>
  <c r="M66" i="2"/>
  <c r="H66" i="2"/>
  <c r="Q61" i="2"/>
  <c r="K66" i="2"/>
  <c r="H66" i="11"/>
  <c r="J66" i="2"/>
  <c r="AK41" i="2"/>
  <c r="AV41" i="2"/>
  <c r="AN41" i="2"/>
  <c r="AQ41" i="2"/>
  <c r="AO41" i="2"/>
  <c r="AL41" i="2"/>
  <c r="AM41" i="2"/>
  <c r="AT41" i="2"/>
  <c r="AS41" i="2"/>
  <c r="AR41" i="2"/>
  <c r="AP41" i="2"/>
  <c r="AJ41" i="2"/>
  <c r="AU41" i="2"/>
  <c r="AI47" i="2"/>
  <c r="AK52" i="2"/>
  <c r="AR52" i="2"/>
  <c r="AM52" i="2"/>
  <c r="AP52" i="2"/>
  <c r="AT52" i="2"/>
  <c r="AV52" i="2"/>
  <c r="AL52" i="2"/>
  <c r="AS52" i="2"/>
  <c r="AN52" i="2"/>
  <c r="AJ52" i="2"/>
  <c r="AU52" i="2"/>
  <c r="AO52" i="2"/>
  <c r="AQ52" i="2"/>
  <c r="AM51" i="11"/>
  <c r="AS51" i="11"/>
  <c r="AR51" i="11"/>
  <c r="AT51" i="11"/>
  <c r="AO51" i="11"/>
  <c r="AN51" i="11"/>
  <c r="AU51" i="11"/>
  <c r="AP51" i="11"/>
  <c r="AK51" i="11"/>
  <c r="AJ51" i="11"/>
  <c r="AL51" i="11"/>
  <c r="AV51" i="11"/>
  <c r="AQ51" i="11"/>
  <c r="AM44" i="2"/>
  <c r="AR44" i="2"/>
  <c r="AQ44" i="2"/>
  <c r="AL44" i="2"/>
  <c r="AT44" i="2"/>
  <c r="AS44" i="2"/>
  <c r="AN44" i="2"/>
  <c r="AK44" i="2"/>
  <c r="AV44" i="2"/>
  <c r="AO44" i="2"/>
  <c r="AJ44" i="2"/>
  <c r="AP44" i="2"/>
  <c r="AU44" i="2"/>
  <c r="AU41" i="11"/>
  <c r="AT41" i="11"/>
  <c r="AO41" i="11"/>
  <c r="AN41" i="11"/>
  <c r="AM41" i="11"/>
  <c r="AP41" i="11"/>
  <c r="AK41" i="11"/>
  <c r="AJ41" i="11"/>
  <c r="AQ41" i="11"/>
  <c r="AL41" i="11"/>
  <c r="AV41" i="11"/>
  <c r="AR41" i="11"/>
  <c r="AS41" i="11"/>
  <c r="AI47" i="11"/>
  <c r="AP52" i="11"/>
  <c r="AL52" i="11"/>
  <c r="AQ52" i="11"/>
  <c r="AN52" i="11"/>
  <c r="AT52" i="11"/>
  <c r="AV52" i="11"/>
  <c r="AU52" i="11"/>
  <c r="AS52" i="11"/>
  <c r="AJ52" i="11"/>
  <c r="AM52" i="11"/>
  <c r="AR52" i="11"/>
  <c r="AK52" i="11"/>
  <c r="AO52" i="11"/>
  <c r="AJ43" i="2"/>
  <c r="AM43" i="2"/>
  <c r="AT43" i="2"/>
  <c r="AO43" i="2"/>
  <c r="AU43" i="2"/>
  <c r="AN43" i="2"/>
  <c r="AP43" i="2"/>
  <c r="AK43" i="2"/>
  <c r="AV43" i="2"/>
  <c r="AQ43" i="2"/>
  <c r="AL43" i="2"/>
  <c r="AR43" i="2"/>
  <c r="AS43" i="2"/>
  <c r="AU44" i="11"/>
  <c r="AT44" i="11"/>
  <c r="AV44" i="11"/>
  <c r="AN44" i="11"/>
  <c r="AS44" i="11"/>
  <c r="AL44" i="11"/>
  <c r="AJ44" i="11"/>
  <c r="AK44" i="11"/>
  <c r="AR44" i="11"/>
  <c r="AM44" i="11"/>
  <c r="AQ44" i="11"/>
  <c r="AO44" i="11"/>
  <c r="AP44" i="11"/>
  <c r="AW46" i="2"/>
  <c r="AM54" i="2"/>
  <c r="AO54" i="2"/>
  <c r="AR54" i="2"/>
  <c r="AQ54" i="2"/>
  <c r="AS54" i="2"/>
  <c r="AU54" i="2"/>
  <c r="AP54" i="2"/>
  <c r="AL54" i="2"/>
  <c r="AK54" i="2"/>
  <c r="AN54" i="2"/>
  <c r="AT54" i="2"/>
  <c r="AJ54" i="2"/>
  <c r="AV54" i="2"/>
  <c r="AM50" i="2"/>
  <c r="AL50" i="2"/>
  <c r="AJ50" i="2"/>
  <c r="AT50" i="2"/>
  <c r="AK50" i="2"/>
  <c r="AS50" i="2"/>
  <c r="AV50" i="2"/>
  <c r="AU50" i="2"/>
  <c r="AO50" i="2"/>
  <c r="AR50" i="2"/>
  <c r="AQ50" i="2"/>
  <c r="AP50" i="2"/>
  <c r="AN50" i="2"/>
  <c r="AG46" i="2"/>
  <c r="AV43" i="11"/>
  <c r="AK43" i="11"/>
  <c r="AP43" i="11"/>
  <c r="AQ43" i="11"/>
  <c r="AN43" i="11"/>
  <c r="AS43" i="11"/>
  <c r="AT43" i="11"/>
  <c r="AU43" i="11"/>
  <c r="AR43" i="11"/>
  <c r="AO43" i="11"/>
  <c r="AJ43" i="11"/>
  <c r="AL43" i="11"/>
  <c r="AM43" i="11"/>
  <c r="AT49" i="2"/>
  <c r="AM49" i="2"/>
  <c r="AQ49" i="2"/>
  <c r="AU49" i="2"/>
  <c r="AN49" i="2"/>
  <c r="AK49" i="2"/>
  <c r="AR49" i="2"/>
  <c r="AO49" i="2"/>
  <c r="AL49" i="2"/>
  <c r="AJ49" i="2"/>
  <c r="AV49" i="2"/>
  <c r="AS49" i="2"/>
  <c r="AP49" i="2"/>
  <c r="AI55" i="2"/>
  <c r="T47" i="2"/>
  <c r="AG47" i="2"/>
  <c r="AL54" i="11"/>
  <c r="AS54" i="11"/>
  <c r="AV54" i="11"/>
  <c r="AM54" i="11"/>
  <c r="AQ54" i="11"/>
  <c r="AN54" i="11"/>
  <c r="AK54" i="11"/>
  <c r="AT54" i="11"/>
  <c r="AJ54" i="11"/>
  <c r="AP54" i="11"/>
  <c r="AO54" i="11"/>
  <c r="AU54" i="11"/>
  <c r="AR54" i="11"/>
  <c r="AR50" i="11"/>
  <c r="AT50" i="11"/>
  <c r="AV50" i="11"/>
  <c r="AU50" i="11"/>
  <c r="AJ50" i="11"/>
  <c r="AN50" i="11"/>
  <c r="AO50" i="11"/>
  <c r="AK50" i="11"/>
  <c r="AS50" i="11"/>
  <c r="AP50" i="11"/>
  <c r="AM50" i="11"/>
  <c r="AL50" i="11"/>
  <c r="AQ50" i="11"/>
  <c r="AL51" i="2"/>
  <c r="AJ51" i="2"/>
  <c r="AM51" i="2"/>
  <c r="AP51" i="2"/>
  <c r="AV51" i="2"/>
  <c r="AN51" i="2"/>
  <c r="AQ51" i="2"/>
  <c r="AT51" i="2"/>
  <c r="AO51" i="2"/>
  <c r="AS51" i="2"/>
  <c r="AR51" i="2"/>
  <c r="AU51" i="2"/>
  <c r="AK51" i="2"/>
  <c r="AO49" i="11"/>
  <c r="AT49" i="11"/>
  <c r="AU49" i="11"/>
  <c r="AK49" i="11"/>
  <c r="AS49" i="11"/>
  <c r="AP49" i="11"/>
  <c r="AM49" i="11"/>
  <c r="AR49" i="11"/>
  <c r="AQ49" i="11"/>
  <c r="AV49" i="11"/>
  <c r="AJ49" i="11"/>
  <c r="AL49" i="11"/>
  <c r="AN49" i="11"/>
  <c r="AI55" i="11"/>
  <c r="AG55" i="2"/>
  <c r="AP94" i="2"/>
  <c r="AP94" i="11"/>
  <c r="AQ94" i="2"/>
  <c r="AQ94" i="11"/>
  <c r="G66" i="11"/>
  <c r="P66" i="11"/>
  <c r="E66" i="11"/>
  <c r="M66" i="11"/>
  <c r="D66" i="11"/>
  <c r="I66" i="11"/>
  <c r="J66" i="11"/>
  <c r="N66" i="11"/>
  <c r="Q64" i="2"/>
  <c r="O66" i="11"/>
  <c r="K66" i="11"/>
  <c r="F66" i="11"/>
  <c r="AI64" i="11"/>
  <c r="AI64" i="2"/>
  <c r="AI60" i="11"/>
  <c r="AI60" i="2"/>
  <c r="AQ59" i="11"/>
  <c r="AP59" i="11"/>
  <c r="AK59" i="11"/>
  <c r="AM59" i="11"/>
  <c r="AL59" i="11"/>
  <c r="AV59" i="11"/>
  <c r="AR59" i="11"/>
  <c r="AS59" i="11"/>
  <c r="AN59" i="11"/>
  <c r="AJ59" i="11"/>
  <c r="AT59" i="11"/>
  <c r="AO59" i="11"/>
  <c r="AU59" i="11"/>
  <c r="AI63" i="11"/>
  <c r="AI63" i="2"/>
  <c r="AK61" i="2"/>
  <c r="AV61" i="2"/>
  <c r="AT61" i="2"/>
  <c r="AS61" i="2"/>
  <c r="AU61" i="2"/>
  <c r="AP61" i="2"/>
  <c r="AO61" i="2"/>
  <c r="AJ61" i="2"/>
  <c r="AR61" i="2"/>
  <c r="AQ61" i="2"/>
  <c r="AL61" i="2"/>
  <c r="AN61" i="2"/>
  <c r="AM61" i="2"/>
  <c r="AI57" i="11"/>
  <c r="AI57" i="2"/>
  <c r="AN61" i="11"/>
  <c r="AL61" i="11"/>
  <c r="AT61" i="11"/>
  <c r="AQ61" i="11"/>
  <c r="AV61" i="11"/>
  <c r="AO61" i="11"/>
  <c r="AS61" i="11"/>
  <c r="AU61" i="11"/>
  <c r="AP61" i="11"/>
  <c r="AJ61" i="11"/>
  <c r="AR61" i="11"/>
  <c r="AK61" i="11"/>
  <c r="AM61" i="11"/>
  <c r="AI62" i="11"/>
  <c r="AI62" i="2"/>
  <c r="AM59" i="2"/>
  <c r="AL59" i="2"/>
  <c r="AS59" i="2"/>
  <c r="AN59" i="2"/>
  <c r="AU59" i="2"/>
  <c r="AT59" i="2"/>
  <c r="AO59" i="2"/>
  <c r="AJ59" i="2"/>
  <c r="AQ59" i="2"/>
  <c r="AK59" i="2"/>
  <c r="AV59" i="2"/>
  <c r="AP59" i="2"/>
  <c r="AR59" i="2"/>
  <c r="Z63" i="11"/>
  <c r="AF63" i="11"/>
  <c r="AA63" i="11"/>
  <c r="V63" i="11"/>
  <c r="AC63" i="11"/>
  <c r="AB63" i="11"/>
  <c r="AD63" i="11"/>
  <c r="Y63" i="11"/>
  <c r="X63" i="11"/>
  <c r="W63" i="11"/>
  <c r="U63" i="11"/>
  <c r="T63" i="11"/>
  <c r="AE63" i="11"/>
  <c r="AG60" i="2"/>
  <c r="AG64" i="2"/>
  <c r="S66" i="11"/>
  <c r="AG61" i="2"/>
  <c r="AG57" i="2"/>
  <c r="U62" i="2"/>
  <c r="V62" i="2"/>
  <c r="W62" i="2"/>
  <c r="AF62" i="2"/>
  <c r="Y62" i="2"/>
  <c r="Z62" i="2"/>
  <c r="AA62" i="2"/>
  <c r="AC62" i="2"/>
  <c r="AD62" i="2"/>
  <c r="AE62" i="2"/>
  <c r="X62" i="2"/>
  <c r="AB62" i="2"/>
  <c r="T62" i="2"/>
  <c r="X63" i="2"/>
  <c r="U63" i="2"/>
  <c r="V63" i="2"/>
  <c r="AB63" i="2"/>
  <c r="Y63" i="2"/>
  <c r="Z63" i="2"/>
  <c r="AF63" i="2"/>
  <c r="AC63" i="2"/>
  <c r="AD63" i="2"/>
  <c r="T63" i="2"/>
  <c r="W63" i="2"/>
  <c r="AA63" i="2"/>
  <c r="AE63" i="2"/>
  <c r="AA62" i="11"/>
  <c r="AC62" i="11"/>
  <c r="X62" i="11"/>
  <c r="T62" i="11"/>
  <c r="T66" i="11"/>
  <c r="AD62" i="11"/>
  <c r="Y62" i="11"/>
  <c r="AE62" i="11"/>
  <c r="Z62" i="11"/>
  <c r="U62" i="11"/>
  <c r="W62" i="11"/>
  <c r="W66" i="11"/>
  <c r="V62" i="11"/>
  <c r="AF62" i="11"/>
  <c r="AB62" i="11"/>
  <c r="AO55" i="11"/>
  <c r="AN55" i="11"/>
  <c r="AQ55" i="11"/>
  <c r="AS55" i="11"/>
  <c r="AV55" i="2"/>
  <c r="Q66" i="2"/>
  <c r="AB66" i="11"/>
  <c r="U66" i="11"/>
  <c r="AA66" i="11"/>
  <c r="AD66" i="11"/>
  <c r="AF66" i="11"/>
  <c r="Z66" i="11"/>
  <c r="V66" i="11"/>
  <c r="AE66" i="11"/>
  <c r="X66" i="11"/>
  <c r="AJ55" i="11"/>
  <c r="AM55" i="11"/>
  <c r="AU55" i="11"/>
  <c r="AL55" i="2"/>
  <c r="AW52" i="2"/>
  <c r="Y66" i="11"/>
  <c r="AC66" i="11"/>
  <c r="V66" i="2"/>
  <c r="AV55" i="11"/>
  <c r="AP55" i="11"/>
  <c r="AT55" i="11"/>
  <c r="AO55" i="2"/>
  <c r="AP55" i="2"/>
  <c r="AN55" i="2"/>
  <c r="AT55" i="2"/>
  <c r="AV47" i="11"/>
  <c r="AK47" i="11"/>
  <c r="AO47" i="11"/>
  <c r="AW41" i="2"/>
  <c r="AJ47" i="2"/>
  <c r="AT47" i="2"/>
  <c r="AQ47" i="2"/>
  <c r="AB66" i="2"/>
  <c r="AS55" i="2"/>
  <c r="AU55" i="2"/>
  <c r="AW50" i="2"/>
  <c r="AW54" i="2"/>
  <c r="AL47" i="11"/>
  <c r="AP47" i="11"/>
  <c r="AT47" i="11"/>
  <c r="AW44" i="2"/>
  <c r="AP47" i="2"/>
  <c r="AM47" i="2"/>
  <c r="AN47" i="2"/>
  <c r="AA66" i="2"/>
  <c r="AW51" i="2"/>
  <c r="AR55" i="2"/>
  <c r="AQ55" i="2"/>
  <c r="AS47" i="11"/>
  <c r="AQ47" i="11"/>
  <c r="AM47" i="11"/>
  <c r="AU47" i="11"/>
  <c r="AR47" i="2"/>
  <c r="AL47" i="2"/>
  <c r="AV47" i="2"/>
  <c r="AL55" i="11"/>
  <c r="AR55" i="11"/>
  <c r="AK55" i="11"/>
  <c r="AW49" i="2"/>
  <c r="AJ55" i="2"/>
  <c r="AK55" i="2"/>
  <c r="AM55" i="2"/>
  <c r="AW43" i="2"/>
  <c r="AR47" i="11"/>
  <c r="AJ47" i="11"/>
  <c r="AN47" i="11"/>
  <c r="AU47" i="2"/>
  <c r="AS47" i="2"/>
  <c r="AO47" i="2"/>
  <c r="AK47" i="2"/>
  <c r="AC66" i="2"/>
  <c r="AF66" i="2"/>
  <c r="X66" i="2"/>
  <c r="W66" i="2"/>
  <c r="AE66" i="2"/>
  <c r="Z66" i="2"/>
  <c r="AG62" i="2"/>
  <c r="AD66" i="2"/>
  <c r="Y66" i="2"/>
  <c r="U66" i="2"/>
  <c r="AV62" i="11"/>
  <c r="AU62" i="11"/>
  <c r="AJ62" i="11"/>
  <c r="AO62" i="11"/>
  <c r="AL62" i="11"/>
  <c r="AN62" i="11"/>
  <c r="AR62" i="11"/>
  <c r="AP62" i="11"/>
  <c r="AM62" i="11"/>
  <c r="AK62" i="11"/>
  <c r="AS62" i="11"/>
  <c r="AT62" i="11"/>
  <c r="AQ62" i="11"/>
  <c r="AL60" i="2"/>
  <c r="AO60" i="2"/>
  <c r="AV60" i="2"/>
  <c r="AQ60" i="2"/>
  <c r="AR60" i="2"/>
  <c r="AM60" i="2"/>
  <c r="AN60" i="2"/>
  <c r="AT60" i="2"/>
  <c r="AJ60" i="2"/>
  <c r="AS60" i="2"/>
  <c r="AU60" i="2"/>
  <c r="AK60" i="2"/>
  <c r="AP60" i="2"/>
  <c r="AW61" i="2"/>
  <c r="AM63" i="2"/>
  <c r="AT63" i="2"/>
  <c r="AP63" i="2"/>
  <c r="AO63" i="2"/>
  <c r="AJ63" i="2"/>
  <c r="AQ63" i="2"/>
  <c r="AK63" i="2"/>
  <c r="AV63" i="2"/>
  <c r="AR63" i="2"/>
  <c r="AL63" i="2"/>
  <c r="AS63" i="2"/>
  <c r="AN63" i="2"/>
  <c r="AU63" i="2"/>
  <c r="AP60" i="11"/>
  <c r="AK60" i="11"/>
  <c r="AJ60" i="11"/>
  <c r="AU60" i="11"/>
  <c r="AV60" i="11"/>
  <c r="AQ60" i="11"/>
  <c r="AL60" i="11"/>
  <c r="AS60" i="11"/>
  <c r="AR60" i="11"/>
  <c r="AT60" i="11"/>
  <c r="AO60" i="11"/>
  <c r="AN60" i="11"/>
  <c r="AM60" i="11"/>
  <c r="AV57" i="2"/>
  <c r="AM57" i="2"/>
  <c r="AJ57" i="2"/>
  <c r="AO57" i="2"/>
  <c r="AL57" i="2"/>
  <c r="AQ57" i="2"/>
  <c r="AN57" i="2"/>
  <c r="AK57" i="2"/>
  <c r="AP57" i="2"/>
  <c r="AU57" i="2"/>
  <c r="AR57" i="2"/>
  <c r="AS57" i="2"/>
  <c r="AT57" i="2"/>
  <c r="AI66" i="2"/>
  <c r="AT63" i="11"/>
  <c r="AO63" i="11"/>
  <c r="AU63" i="11"/>
  <c r="AP63" i="11"/>
  <c r="AK63" i="11"/>
  <c r="AM63" i="11"/>
  <c r="AL63" i="11"/>
  <c r="AV63" i="11"/>
  <c r="AR63" i="11"/>
  <c r="AS63" i="11"/>
  <c r="AN63" i="11"/>
  <c r="AJ63" i="11"/>
  <c r="AQ63" i="11"/>
  <c r="AL64" i="2"/>
  <c r="AR64" i="2"/>
  <c r="AM64" i="2"/>
  <c r="AN64" i="2"/>
  <c r="AS64" i="2"/>
  <c r="AT64" i="2"/>
  <c r="AJ64" i="2"/>
  <c r="AO64" i="2"/>
  <c r="AU64" i="2"/>
  <c r="AK64" i="2"/>
  <c r="AP64" i="2"/>
  <c r="AV64" i="2"/>
  <c r="AQ64" i="2"/>
  <c r="AW59" i="2"/>
  <c r="AJ62" i="2"/>
  <c r="AQ62" i="2"/>
  <c r="AL62" i="2"/>
  <c r="AM62" i="2"/>
  <c r="AU62" i="2"/>
  <c r="AS62" i="2"/>
  <c r="AV62" i="2"/>
  <c r="AT62" i="2"/>
  <c r="AO62" i="2"/>
  <c r="AR62" i="2"/>
  <c r="AP62" i="2"/>
  <c r="AK62" i="2"/>
  <c r="AN62" i="2"/>
  <c r="AS57" i="11"/>
  <c r="AR57" i="11"/>
  <c r="AK57" i="11"/>
  <c r="AV57" i="11"/>
  <c r="AN57" i="11"/>
  <c r="AL57" i="11"/>
  <c r="AI66" i="11"/>
  <c r="AM57" i="11"/>
  <c r="AT57" i="11"/>
  <c r="AJ57" i="11"/>
  <c r="AQ57" i="11"/>
  <c r="AO57" i="11"/>
  <c r="AP57" i="11"/>
  <c r="AU57" i="11"/>
  <c r="AP64" i="11"/>
  <c r="AK64" i="11"/>
  <c r="AJ64" i="11"/>
  <c r="AT64" i="11"/>
  <c r="AV64" i="11"/>
  <c r="AQ64" i="11"/>
  <c r="AM64" i="11"/>
  <c r="AS64" i="11"/>
  <c r="AR64" i="11"/>
  <c r="AU64" i="11"/>
  <c r="AO64" i="11"/>
  <c r="AN64" i="11"/>
  <c r="AL64" i="11"/>
  <c r="T66" i="2"/>
  <c r="AG63" i="2"/>
  <c r="AW47" i="2"/>
  <c r="AW55" i="2"/>
  <c r="AS94" i="2"/>
  <c r="AS94" i="11"/>
  <c r="AR94" i="2"/>
  <c r="AR94" i="11"/>
  <c r="AG66" i="2"/>
  <c r="AO66" i="11"/>
  <c r="AM66" i="11"/>
  <c r="AV66" i="11"/>
  <c r="AW62" i="2"/>
  <c r="AW64" i="2"/>
  <c r="AU66" i="2"/>
  <c r="AQ66" i="2"/>
  <c r="AM66" i="2"/>
  <c r="AQ66" i="11"/>
  <c r="AK66" i="11"/>
  <c r="AT66" i="2"/>
  <c r="AP66" i="2"/>
  <c r="AL66" i="2"/>
  <c r="AV66" i="2"/>
  <c r="AW60" i="2"/>
  <c r="AU66" i="11"/>
  <c r="AL66" i="11"/>
  <c r="AR66" i="11"/>
  <c r="AS66" i="2"/>
  <c r="AK66" i="2"/>
  <c r="AO66" i="2"/>
  <c r="AJ66" i="11"/>
  <c r="AP66" i="11"/>
  <c r="AT66" i="11"/>
  <c r="AN66" i="11"/>
  <c r="AS66" i="11"/>
  <c r="AR66" i="2"/>
  <c r="AN66" i="2"/>
  <c r="AJ66" i="2"/>
  <c r="AW57" i="2"/>
  <c r="AW63" i="2"/>
  <c r="AW66" i="2"/>
  <c r="D50" i="5"/>
  <c r="E50" i="5"/>
  <c r="F50" i="5"/>
  <c r="G50" i="5"/>
  <c r="C50" i="5"/>
  <c r="D49" i="5"/>
  <c r="E49" i="5"/>
  <c r="F49" i="5"/>
  <c r="G49" i="5"/>
  <c r="C49" i="5"/>
  <c r="D48" i="5"/>
  <c r="E48" i="5"/>
  <c r="F48" i="5"/>
  <c r="G48" i="5"/>
  <c r="C48" i="5"/>
  <c r="D26" i="5"/>
  <c r="AU94" i="2"/>
  <c r="AU94" i="11"/>
  <c r="AU129" i="2"/>
  <c r="AT94" i="2"/>
  <c r="AT94" i="11"/>
  <c r="E26" i="5"/>
  <c r="D51" i="5"/>
  <c r="G51" i="5"/>
  <c r="E51" i="5"/>
  <c r="F51" i="5"/>
  <c r="C51" i="5"/>
  <c r="C24" i="3"/>
  <c r="C17" i="5"/>
  <c r="D16" i="5"/>
  <c r="AI94" i="2"/>
  <c r="AW94" i="2"/>
  <c r="C28" i="2"/>
  <c r="J28" i="2"/>
  <c r="C28" i="11"/>
  <c r="F26" i="5"/>
  <c r="D17" i="5"/>
  <c r="E16" i="5"/>
  <c r="B30" i="1"/>
  <c r="B29" i="1"/>
  <c r="B28" i="1"/>
  <c r="AI94" i="11"/>
  <c r="H28" i="2"/>
  <c r="M28" i="2"/>
  <c r="L28" i="2"/>
  <c r="P28" i="2"/>
  <c r="G28" i="2"/>
  <c r="F28" i="2"/>
  <c r="D28" i="2"/>
  <c r="N28" i="11"/>
  <c r="H28" i="11"/>
  <c r="D28" i="11"/>
  <c r="L28" i="11"/>
  <c r="P28" i="11"/>
  <c r="K28" i="11"/>
  <c r="E28" i="11"/>
  <c r="J28" i="11"/>
  <c r="O28" i="11"/>
  <c r="I28" i="11"/>
  <c r="F28" i="11"/>
  <c r="M28" i="11"/>
  <c r="G28" i="11"/>
  <c r="O28" i="2"/>
  <c r="I28" i="2"/>
  <c r="N28" i="2"/>
  <c r="K28" i="2"/>
  <c r="E28" i="2"/>
  <c r="G26" i="5"/>
  <c r="E17" i="5"/>
  <c r="F16" i="5"/>
  <c r="F100" i="7"/>
  <c r="G100" i="7"/>
  <c r="H100" i="7"/>
  <c r="I100" i="7"/>
  <c r="J100" i="7"/>
  <c r="B27" i="1"/>
  <c r="C62" i="3"/>
  <c r="C51" i="3"/>
  <c r="C43" i="3"/>
  <c r="AI68" i="11"/>
  <c r="AI68" i="2"/>
  <c r="C64" i="3"/>
  <c r="F135" i="7"/>
  <c r="C74" i="3"/>
  <c r="G135" i="7"/>
  <c r="F134" i="7"/>
  <c r="G134" i="7"/>
  <c r="H134" i="7"/>
  <c r="I134" i="7"/>
  <c r="E39" i="1"/>
  <c r="F15" i="3"/>
  <c r="E41" i="1"/>
  <c r="E37" i="1"/>
  <c r="F102" i="7"/>
  <c r="G102" i="7"/>
  <c r="H102" i="7"/>
  <c r="I102" i="7"/>
  <c r="F98" i="6"/>
  <c r="B31" i="1"/>
  <c r="D37" i="1"/>
  <c r="D41" i="1"/>
  <c r="D39" i="1"/>
  <c r="E15" i="3"/>
  <c r="E98" i="6"/>
  <c r="F171" i="7"/>
  <c r="G23" i="3"/>
  <c r="B39" i="1"/>
  <c r="C15" i="3"/>
  <c r="B41" i="1"/>
  <c r="B37" i="1"/>
  <c r="C86" i="3"/>
  <c r="C66" i="3"/>
  <c r="F101" i="7"/>
  <c r="C65" i="3"/>
  <c r="C98" i="6"/>
  <c r="C37" i="1"/>
  <c r="C41" i="1"/>
  <c r="C39" i="1"/>
  <c r="D15" i="3"/>
  <c r="D98" i="6"/>
  <c r="F11" i="3"/>
  <c r="F22" i="3"/>
  <c r="E22" i="3"/>
  <c r="G22" i="3"/>
  <c r="J134" i="7"/>
  <c r="F41" i="1"/>
  <c r="F39" i="1"/>
  <c r="G15" i="3"/>
  <c r="F37" i="1"/>
  <c r="J102" i="7"/>
  <c r="G98" i="6"/>
  <c r="Q28" i="2"/>
  <c r="F17" i="5"/>
  <c r="G16" i="5"/>
  <c r="G101" i="7"/>
  <c r="C68" i="2"/>
  <c r="C68" i="11"/>
  <c r="S68" i="2"/>
  <c r="S68" i="11"/>
  <c r="AR68" i="2"/>
  <c r="AN68" i="2"/>
  <c r="AQ68" i="2"/>
  <c r="AP68" i="2"/>
  <c r="AV68" i="2"/>
  <c r="AJ68" i="2"/>
  <c r="AL68" i="2"/>
  <c r="AT68" i="2"/>
  <c r="AM68" i="2"/>
  <c r="AU68" i="2"/>
  <c r="AO68" i="2"/>
  <c r="AS68" i="2"/>
  <c r="AK68" i="2"/>
  <c r="C78" i="2"/>
  <c r="C78" i="11"/>
  <c r="H135" i="7"/>
  <c r="AJ68" i="11"/>
  <c r="AR68" i="11"/>
  <c r="AQ68" i="11"/>
  <c r="AL68" i="11"/>
  <c r="AU68" i="11"/>
  <c r="AV68" i="11"/>
  <c r="AP68" i="11"/>
  <c r="AO68" i="11"/>
  <c r="AN68" i="11"/>
  <c r="AK68" i="11"/>
  <c r="AM68" i="11"/>
  <c r="AS68" i="11"/>
  <c r="AT68" i="11"/>
  <c r="S90" i="2"/>
  <c r="E20" i="3"/>
  <c r="C69" i="2"/>
  <c r="C69" i="11"/>
  <c r="S26" i="11"/>
  <c r="S26" i="2"/>
  <c r="E171" i="7"/>
  <c r="F23" i="3"/>
  <c r="S19" i="2"/>
  <c r="S19" i="11"/>
  <c r="C77" i="2"/>
  <c r="C77" i="11"/>
  <c r="E13" i="3"/>
  <c r="E14" i="3"/>
  <c r="AI26" i="11"/>
  <c r="AI26" i="2"/>
  <c r="S70" i="2"/>
  <c r="S70" i="11"/>
  <c r="C94" i="6"/>
  <c r="C21" i="3"/>
  <c r="C91" i="6"/>
  <c r="C12" i="3"/>
  <c r="C70" i="2"/>
  <c r="C70" i="11"/>
  <c r="C19" i="11"/>
  <c r="C19" i="2"/>
  <c r="C14" i="3"/>
  <c r="C13" i="3"/>
  <c r="S32" i="2"/>
  <c r="S32" i="11"/>
  <c r="D32" i="3"/>
  <c r="S77" i="2"/>
  <c r="S77" i="11"/>
  <c r="AI70" i="2"/>
  <c r="AI70" i="11"/>
  <c r="C5" i="5"/>
  <c r="B171" i="7"/>
  <c r="C23" i="3"/>
  <c r="C11" i="3"/>
  <c r="C8" i="3"/>
  <c r="D11" i="3"/>
  <c r="C20" i="3"/>
  <c r="G32" i="3"/>
  <c r="G13" i="3"/>
  <c r="G14" i="3"/>
  <c r="D5" i="5"/>
  <c r="C171" i="7"/>
  <c r="D23" i="3"/>
  <c r="D20" i="3"/>
  <c r="E11" i="3"/>
  <c r="D171" i="7"/>
  <c r="E23" i="3"/>
  <c r="G154" i="7"/>
  <c r="D14" i="3"/>
  <c r="D13" i="3"/>
  <c r="C32" i="2"/>
  <c r="C32" i="11"/>
  <c r="C32" i="3"/>
  <c r="C90" i="11"/>
  <c r="C90" i="2"/>
  <c r="AI32" i="11"/>
  <c r="AI32" i="2"/>
  <c r="E32" i="3"/>
  <c r="AI19" i="11"/>
  <c r="AI19" i="2"/>
  <c r="AI77" i="2"/>
  <c r="AI77" i="11"/>
  <c r="F32" i="3"/>
  <c r="F13" i="3"/>
  <c r="F14" i="3"/>
  <c r="F20" i="3"/>
  <c r="E168" i="7"/>
  <c r="G11" i="3"/>
  <c r="G17" i="5"/>
  <c r="G20" i="3"/>
  <c r="S90" i="11"/>
  <c r="H101" i="7"/>
  <c r="H78" i="11"/>
  <c r="P78" i="11"/>
  <c r="L78" i="11"/>
  <c r="D78" i="11"/>
  <c r="J78" i="11"/>
  <c r="G78" i="11"/>
  <c r="N78" i="11"/>
  <c r="I78" i="11"/>
  <c r="M78" i="11"/>
  <c r="E78" i="11"/>
  <c r="O78" i="11"/>
  <c r="K78" i="11"/>
  <c r="F78" i="11"/>
  <c r="T68" i="2"/>
  <c r="Y68" i="2"/>
  <c r="W68" i="2"/>
  <c r="AC68" i="2"/>
  <c r="AD68" i="2"/>
  <c r="AA68" i="2"/>
  <c r="Z68" i="2"/>
  <c r="AE68" i="2"/>
  <c r="U68" i="2"/>
  <c r="AF68" i="2"/>
  <c r="X68" i="2"/>
  <c r="AB68" i="2"/>
  <c r="V68" i="2"/>
  <c r="K78" i="2"/>
  <c r="I78" i="2"/>
  <c r="J78" i="2"/>
  <c r="F78" i="2"/>
  <c r="N78" i="2"/>
  <c r="L78" i="2"/>
  <c r="M78" i="2"/>
  <c r="H78" i="2"/>
  <c r="E78" i="2"/>
  <c r="G78" i="2"/>
  <c r="O78" i="2"/>
  <c r="D78" i="2"/>
  <c r="P78" i="2"/>
  <c r="AW68" i="2"/>
  <c r="L68" i="11"/>
  <c r="P68" i="11"/>
  <c r="G68" i="11"/>
  <c r="J68" i="11"/>
  <c r="D68" i="11"/>
  <c r="O68" i="11"/>
  <c r="N68" i="11"/>
  <c r="H68" i="11"/>
  <c r="E68" i="11"/>
  <c r="I68" i="11"/>
  <c r="F68" i="11"/>
  <c r="M68" i="11"/>
  <c r="K68" i="11"/>
  <c r="I135" i="7"/>
  <c r="W68" i="11"/>
  <c r="AE68" i="11"/>
  <c r="Z68" i="11"/>
  <c r="AD68" i="11"/>
  <c r="U68" i="11"/>
  <c r="AC68" i="11"/>
  <c r="V68" i="11"/>
  <c r="AF68" i="11"/>
  <c r="Y68" i="11"/>
  <c r="AA68" i="11"/>
  <c r="AB68" i="11"/>
  <c r="T68" i="11"/>
  <c r="X68" i="11"/>
  <c r="S78" i="11"/>
  <c r="S78" i="2"/>
  <c r="F68" i="2"/>
  <c r="O68" i="2"/>
  <c r="E68" i="2"/>
  <c r="M68" i="2"/>
  <c r="J68" i="2"/>
  <c r="I68" i="2"/>
  <c r="K68" i="2"/>
  <c r="G68" i="2"/>
  <c r="H68" i="2"/>
  <c r="P68" i="2"/>
  <c r="N68" i="2"/>
  <c r="L68" i="2"/>
  <c r="D68" i="2"/>
  <c r="AI24" i="11"/>
  <c r="AI24" i="2"/>
  <c r="F18" i="3"/>
  <c r="S17" i="11"/>
  <c r="S17" i="2"/>
  <c r="S15" i="2"/>
  <c r="S15" i="11"/>
  <c r="C168" i="7"/>
  <c r="C172" i="7"/>
  <c r="C173" i="7"/>
  <c r="D18" i="3"/>
  <c r="AB77" i="11"/>
  <c r="U77" i="11"/>
  <c r="Y77" i="11"/>
  <c r="Z77" i="11"/>
  <c r="AC77" i="11"/>
  <c r="AD77" i="11"/>
  <c r="AF77" i="11"/>
  <c r="W77" i="11"/>
  <c r="T77" i="11"/>
  <c r="AA77" i="11"/>
  <c r="AE77" i="11"/>
  <c r="X77" i="11"/>
  <c r="V77" i="11"/>
  <c r="K77" i="11"/>
  <c r="P77" i="11"/>
  <c r="D77" i="11"/>
  <c r="I77" i="11"/>
  <c r="H77" i="11"/>
  <c r="O77" i="11"/>
  <c r="G77" i="11"/>
  <c r="M77" i="11"/>
  <c r="L77" i="11"/>
  <c r="F77" i="11"/>
  <c r="E77" i="11"/>
  <c r="J77" i="11"/>
  <c r="N77" i="11"/>
  <c r="AF26" i="11"/>
  <c r="AD26" i="11"/>
  <c r="AE26" i="11"/>
  <c r="AB26" i="11"/>
  <c r="V26" i="11"/>
  <c r="T26" i="11"/>
  <c r="AC26" i="11"/>
  <c r="Z26" i="11"/>
  <c r="W26" i="11"/>
  <c r="Y26" i="11"/>
  <c r="U26" i="11"/>
  <c r="AA26" i="11"/>
  <c r="X26" i="11"/>
  <c r="AM32" i="2"/>
  <c r="AM36" i="2"/>
  <c r="AQ32" i="2"/>
  <c r="AQ36" i="2"/>
  <c r="AL32" i="2"/>
  <c r="AL36" i="2"/>
  <c r="AV32" i="2"/>
  <c r="AV36" i="2"/>
  <c r="AS32" i="2"/>
  <c r="AS36" i="2"/>
  <c r="AJ32" i="2"/>
  <c r="AJ36" i="2"/>
  <c r="AK32" i="2"/>
  <c r="AK36" i="2"/>
  <c r="AR32" i="2"/>
  <c r="AR36" i="2"/>
  <c r="AP32" i="2"/>
  <c r="AP36" i="2"/>
  <c r="AU32" i="2"/>
  <c r="AU36" i="2"/>
  <c r="AI36" i="2"/>
  <c r="AT32" i="2"/>
  <c r="AT36" i="2"/>
  <c r="AO32" i="2"/>
  <c r="AO36" i="2"/>
  <c r="AN32" i="2"/>
  <c r="AN36" i="2"/>
  <c r="AI12" i="11"/>
  <c r="AI12" i="2"/>
  <c r="E18" i="3"/>
  <c r="AI15" i="11"/>
  <c r="AI15" i="2"/>
  <c r="D168" i="7"/>
  <c r="C17" i="11"/>
  <c r="C17" i="2"/>
  <c r="G69" i="11"/>
  <c r="K69" i="11"/>
  <c r="L69" i="11"/>
  <c r="O69" i="11"/>
  <c r="D69" i="11"/>
  <c r="H69" i="11"/>
  <c r="M69" i="11"/>
  <c r="E69" i="11"/>
  <c r="F69" i="11"/>
  <c r="J69" i="11"/>
  <c r="I69" i="11"/>
  <c r="N69" i="11"/>
  <c r="P69" i="11"/>
  <c r="AP19" i="2"/>
  <c r="AU19" i="2"/>
  <c r="AL19" i="2"/>
  <c r="AK19" i="2"/>
  <c r="AJ19" i="2"/>
  <c r="AN19" i="2"/>
  <c r="AO19" i="2"/>
  <c r="AT19" i="2"/>
  <c r="AM19" i="2"/>
  <c r="AR19" i="2"/>
  <c r="AQ19" i="2"/>
  <c r="AV19" i="2"/>
  <c r="AS19" i="2"/>
  <c r="AV32" i="11"/>
  <c r="AV36" i="11"/>
  <c r="AL32" i="11"/>
  <c r="AL36" i="11"/>
  <c r="AM32" i="11"/>
  <c r="AM36" i="11"/>
  <c r="AO32" i="11"/>
  <c r="AO36" i="11"/>
  <c r="AK32" i="11"/>
  <c r="AK36" i="11"/>
  <c r="AT32" i="11"/>
  <c r="AT36" i="11"/>
  <c r="AJ32" i="11"/>
  <c r="AJ36" i="11"/>
  <c r="AN32" i="11"/>
  <c r="AN36" i="11"/>
  <c r="AR32" i="11"/>
  <c r="AR36" i="11"/>
  <c r="AU32" i="11"/>
  <c r="AU36" i="11"/>
  <c r="AS32" i="11"/>
  <c r="AS36" i="11"/>
  <c r="AP32" i="11"/>
  <c r="AP36" i="11"/>
  <c r="AQ32" i="11"/>
  <c r="AQ36" i="11"/>
  <c r="AI36" i="11"/>
  <c r="I32" i="11"/>
  <c r="I36" i="11"/>
  <c r="N32" i="11"/>
  <c r="N36" i="11"/>
  <c r="G32" i="11"/>
  <c r="G36" i="11"/>
  <c r="D32" i="11"/>
  <c r="D36" i="11"/>
  <c r="K32" i="11"/>
  <c r="K36" i="11"/>
  <c r="C36" i="11"/>
  <c r="L32" i="11"/>
  <c r="L36" i="11"/>
  <c r="O32" i="11"/>
  <c r="O36" i="11"/>
  <c r="P32" i="11"/>
  <c r="P36" i="11"/>
  <c r="M32" i="11"/>
  <c r="M36" i="11"/>
  <c r="H32" i="11"/>
  <c r="H36" i="11"/>
  <c r="F32" i="11"/>
  <c r="F36" i="11"/>
  <c r="J32" i="11"/>
  <c r="J36" i="11"/>
  <c r="E32" i="11"/>
  <c r="E36" i="11"/>
  <c r="H154" i="7"/>
  <c r="AI27" i="11"/>
  <c r="AI27" i="2"/>
  <c r="S24" i="2"/>
  <c r="S24" i="11"/>
  <c r="C15" i="11"/>
  <c r="C15" i="2"/>
  <c r="B168" i="7"/>
  <c r="B172" i="7"/>
  <c r="B173" i="7"/>
  <c r="C18" i="3"/>
  <c r="AU70" i="11"/>
  <c r="AL70" i="11"/>
  <c r="AJ70" i="11"/>
  <c r="AM70" i="11"/>
  <c r="AO70" i="11"/>
  <c r="AR70" i="11"/>
  <c r="AS70" i="11"/>
  <c r="AK70" i="11"/>
  <c r="AT70" i="11"/>
  <c r="AN70" i="11"/>
  <c r="AV70" i="11"/>
  <c r="AQ70" i="11"/>
  <c r="AP70" i="11"/>
  <c r="C18" i="11"/>
  <c r="C18" i="2"/>
  <c r="S16" i="11"/>
  <c r="S16" i="2"/>
  <c r="M19" i="2"/>
  <c r="F19" i="2"/>
  <c r="L19" i="2"/>
  <c r="G19" i="2"/>
  <c r="J19" i="2"/>
  <c r="P19" i="2"/>
  <c r="O19" i="2"/>
  <c r="D19" i="2"/>
  <c r="N19" i="2"/>
  <c r="K19" i="2"/>
  <c r="H19" i="2"/>
  <c r="E19" i="2"/>
  <c r="I19" i="2"/>
  <c r="C16" i="2"/>
  <c r="C16" i="11"/>
  <c r="C69" i="3"/>
  <c r="AJ26" i="2"/>
  <c r="AM26" i="2"/>
  <c r="AK26" i="2"/>
  <c r="AR26" i="2"/>
  <c r="AT26" i="2"/>
  <c r="AL26" i="2"/>
  <c r="AV26" i="2"/>
  <c r="AP26" i="2"/>
  <c r="AN26" i="2"/>
  <c r="AQ26" i="2"/>
  <c r="AS26" i="2"/>
  <c r="AU26" i="2"/>
  <c r="AO26" i="2"/>
  <c r="AI18" i="11"/>
  <c r="AI18" i="2"/>
  <c r="AD19" i="11"/>
  <c r="AC19" i="11"/>
  <c r="X19" i="11"/>
  <c r="AF19" i="11"/>
  <c r="T19" i="11"/>
  <c r="AA19" i="11"/>
  <c r="W19" i="11"/>
  <c r="V19" i="11"/>
  <c r="AE19" i="11"/>
  <c r="Y19" i="11"/>
  <c r="U19" i="11"/>
  <c r="AB19" i="11"/>
  <c r="Z19" i="11"/>
  <c r="H69" i="2"/>
  <c r="I69" i="2"/>
  <c r="F69" i="2"/>
  <c r="J69" i="2"/>
  <c r="K69" i="2"/>
  <c r="L69" i="2"/>
  <c r="M69" i="2"/>
  <c r="N69" i="2"/>
  <c r="P69" i="2"/>
  <c r="G69" i="2"/>
  <c r="D69" i="2"/>
  <c r="E69" i="2"/>
  <c r="O69" i="2"/>
  <c r="AR77" i="11"/>
  <c r="AU77" i="11"/>
  <c r="AK77" i="11"/>
  <c r="AQ77" i="11"/>
  <c r="AN77" i="11"/>
  <c r="AP77" i="11"/>
  <c r="AJ77" i="11"/>
  <c r="AV77" i="11"/>
  <c r="AL77" i="11"/>
  <c r="AS77" i="11"/>
  <c r="AM77" i="11"/>
  <c r="AO77" i="11"/>
  <c r="AT77" i="11"/>
  <c r="P90" i="11"/>
  <c r="I90" i="11"/>
  <c r="D90" i="11"/>
  <c r="O90" i="11"/>
  <c r="H90" i="11"/>
  <c r="J90" i="11"/>
  <c r="L90" i="11"/>
  <c r="F90" i="11"/>
  <c r="M90" i="11"/>
  <c r="G90" i="11"/>
  <c r="E90" i="11"/>
  <c r="K90" i="11"/>
  <c r="N90" i="11"/>
  <c r="S27" i="11"/>
  <c r="S27" i="2"/>
  <c r="C95" i="2"/>
  <c r="C95" i="11"/>
  <c r="Z32" i="2"/>
  <c r="Z36" i="2"/>
  <c r="S36" i="2"/>
  <c r="V32" i="2"/>
  <c r="V36" i="2"/>
  <c r="U32" i="2"/>
  <c r="U36" i="2"/>
  <c r="AB32" i="2"/>
  <c r="AB36" i="2"/>
  <c r="Y32" i="2"/>
  <c r="Y36" i="2"/>
  <c r="W32" i="2"/>
  <c r="W36" i="2"/>
  <c r="AA32" i="2"/>
  <c r="AA36" i="2"/>
  <c r="AD32" i="2"/>
  <c r="AD36" i="2"/>
  <c r="T32" i="2"/>
  <c r="T36" i="2"/>
  <c r="X32" i="2"/>
  <c r="X36" i="2"/>
  <c r="AE32" i="2"/>
  <c r="AE36" i="2"/>
  <c r="AF32" i="2"/>
  <c r="AF36" i="2"/>
  <c r="AC32" i="2"/>
  <c r="AC36" i="2"/>
  <c r="W90" i="11"/>
  <c r="AC90" i="11"/>
  <c r="AA90" i="11"/>
  <c r="T90" i="11"/>
  <c r="V90" i="11"/>
  <c r="AB90" i="11"/>
  <c r="AE90" i="11"/>
  <c r="Y90" i="11"/>
  <c r="U90" i="11"/>
  <c r="X90" i="11"/>
  <c r="AD90" i="11"/>
  <c r="AF90" i="11"/>
  <c r="Z90" i="11"/>
  <c r="AI16" i="11"/>
  <c r="AI16" i="2"/>
  <c r="E70" i="11"/>
  <c r="D70" i="11"/>
  <c r="F70" i="11"/>
  <c r="O70" i="11"/>
  <c r="I70" i="11"/>
  <c r="M70" i="11"/>
  <c r="K70" i="11"/>
  <c r="L70" i="11"/>
  <c r="J70" i="11"/>
  <c r="P70" i="11"/>
  <c r="N70" i="11"/>
  <c r="H70" i="11"/>
  <c r="G70" i="11"/>
  <c r="Y70" i="11"/>
  <c r="W70" i="11"/>
  <c r="AB70" i="11"/>
  <c r="T70" i="11"/>
  <c r="Z70" i="11"/>
  <c r="U70" i="11"/>
  <c r="AE70" i="11"/>
  <c r="V70" i="11"/>
  <c r="AA70" i="11"/>
  <c r="AF70" i="11"/>
  <c r="AC70" i="11"/>
  <c r="X70" i="11"/>
  <c r="AD70" i="11"/>
  <c r="AP77" i="2"/>
  <c r="AK77" i="2"/>
  <c r="AJ77" i="2"/>
  <c r="AL77" i="2"/>
  <c r="AS77" i="2"/>
  <c r="AM77" i="2"/>
  <c r="AT77" i="2"/>
  <c r="AV77" i="2"/>
  <c r="AQ77" i="2"/>
  <c r="AR77" i="2"/>
  <c r="AU77" i="2"/>
  <c r="AO77" i="2"/>
  <c r="AN77" i="2"/>
  <c r="S18" i="2"/>
  <c r="S18" i="11"/>
  <c r="S95" i="2"/>
  <c r="S95" i="11"/>
  <c r="C12" i="11"/>
  <c r="C12" i="2"/>
  <c r="C7" i="3"/>
  <c r="AA77" i="2"/>
  <c r="AB77" i="2"/>
  <c r="V77" i="2"/>
  <c r="T77" i="2"/>
  <c r="X77" i="2"/>
  <c r="AC77" i="2"/>
  <c r="W77" i="2"/>
  <c r="AD77" i="2"/>
  <c r="AF77" i="2"/>
  <c r="U77" i="2"/>
  <c r="AE77" i="2"/>
  <c r="Z77" i="2"/>
  <c r="Y77" i="2"/>
  <c r="S25" i="11"/>
  <c r="S25" i="2"/>
  <c r="AI25" i="11"/>
  <c r="AI25" i="2"/>
  <c r="O70" i="2"/>
  <c r="P70" i="2"/>
  <c r="N70" i="2"/>
  <c r="G70" i="2"/>
  <c r="M70" i="2"/>
  <c r="K70" i="2"/>
  <c r="F70" i="2"/>
  <c r="D70" i="2"/>
  <c r="E70" i="2"/>
  <c r="I70" i="2"/>
  <c r="H70" i="2"/>
  <c r="J70" i="2"/>
  <c r="L70" i="2"/>
  <c r="AD70" i="2"/>
  <c r="AA70" i="2"/>
  <c r="X70" i="2"/>
  <c r="AE70" i="2"/>
  <c r="AF70" i="2"/>
  <c r="U70" i="2"/>
  <c r="AB70" i="2"/>
  <c r="T70" i="2"/>
  <c r="Y70" i="2"/>
  <c r="W70" i="2"/>
  <c r="V70" i="2"/>
  <c r="AC70" i="2"/>
  <c r="Z70" i="2"/>
  <c r="L77" i="2"/>
  <c r="H77" i="2"/>
  <c r="G77" i="2"/>
  <c r="I77" i="2"/>
  <c r="N77" i="2"/>
  <c r="E77" i="2"/>
  <c r="K77" i="2"/>
  <c r="D77" i="2"/>
  <c r="F77" i="2"/>
  <c r="P77" i="2"/>
  <c r="O77" i="2"/>
  <c r="M77" i="2"/>
  <c r="J77" i="2"/>
  <c r="AU19" i="11"/>
  <c r="AQ19" i="11"/>
  <c r="AL19" i="11"/>
  <c r="AV19" i="11"/>
  <c r="AR19" i="11"/>
  <c r="AK19" i="11"/>
  <c r="AM19" i="11"/>
  <c r="AJ19" i="11"/>
  <c r="AS19" i="11"/>
  <c r="AT19" i="11"/>
  <c r="AP19" i="11"/>
  <c r="AO19" i="11"/>
  <c r="AN19" i="11"/>
  <c r="D90" i="2"/>
  <c r="J90" i="2"/>
  <c r="P90" i="2"/>
  <c r="F90" i="2"/>
  <c r="L90" i="2"/>
  <c r="E90" i="2"/>
  <c r="I90" i="2"/>
  <c r="G90" i="2"/>
  <c r="N90" i="2"/>
  <c r="O90" i="2"/>
  <c r="M90" i="2"/>
  <c r="H90" i="2"/>
  <c r="K90" i="2"/>
  <c r="I32" i="2"/>
  <c r="I36" i="2"/>
  <c r="E32" i="2"/>
  <c r="E36" i="2"/>
  <c r="C36" i="2"/>
  <c r="D32" i="2"/>
  <c r="D36" i="2"/>
  <c r="N32" i="2"/>
  <c r="N36" i="2"/>
  <c r="P32" i="2"/>
  <c r="P36" i="2"/>
  <c r="L32" i="2"/>
  <c r="L36" i="2"/>
  <c r="F32" i="2"/>
  <c r="F36" i="2"/>
  <c r="G32" i="2"/>
  <c r="G36" i="2"/>
  <c r="K32" i="2"/>
  <c r="K36" i="2"/>
  <c r="O32" i="2"/>
  <c r="O36" i="2"/>
  <c r="H32" i="2"/>
  <c r="H36" i="2"/>
  <c r="J32" i="2"/>
  <c r="J36" i="2"/>
  <c r="M32" i="2"/>
  <c r="M36" i="2"/>
  <c r="G153" i="7"/>
  <c r="AI95" i="11"/>
  <c r="AI95" i="2"/>
  <c r="S12" i="2"/>
  <c r="S12" i="11"/>
  <c r="C24" i="11"/>
  <c r="C24" i="2"/>
  <c r="C26" i="3"/>
  <c r="C27" i="2"/>
  <c r="C27" i="11"/>
  <c r="AJ70" i="2"/>
  <c r="AU70" i="2"/>
  <c r="AM70" i="2"/>
  <c r="AV70" i="2"/>
  <c r="AT70" i="2"/>
  <c r="AS70" i="2"/>
  <c r="AO70" i="2"/>
  <c r="AN70" i="2"/>
  <c r="AK70" i="2"/>
  <c r="AR70" i="2"/>
  <c r="AP70" i="2"/>
  <c r="AQ70" i="2"/>
  <c r="AL70" i="2"/>
  <c r="AD32" i="11"/>
  <c r="AD36" i="11"/>
  <c r="X32" i="11"/>
  <c r="X36" i="11"/>
  <c r="AA32" i="11"/>
  <c r="AA36" i="11"/>
  <c r="U32" i="11"/>
  <c r="U36" i="11"/>
  <c r="AB32" i="11"/>
  <c r="AB36" i="11"/>
  <c r="AE32" i="11"/>
  <c r="AE36" i="11"/>
  <c r="AF32" i="11"/>
  <c r="AF36" i="11"/>
  <c r="W32" i="11"/>
  <c r="W36" i="11"/>
  <c r="S36" i="11"/>
  <c r="T32" i="11"/>
  <c r="T36" i="11"/>
  <c r="V32" i="11"/>
  <c r="V36" i="11"/>
  <c r="AC32" i="11"/>
  <c r="AC36" i="11"/>
  <c r="Y32" i="11"/>
  <c r="Y36" i="11"/>
  <c r="Z32" i="11"/>
  <c r="Z36" i="11"/>
  <c r="AB90" i="2"/>
  <c r="V90" i="2"/>
  <c r="Z90" i="2"/>
  <c r="Y90" i="2"/>
  <c r="W90" i="2"/>
  <c r="AA90" i="2"/>
  <c r="AF90" i="2"/>
  <c r="AD90" i="2"/>
  <c r="T90" i="2"/>
  <c r="AE90" i="2"/>
  <c r="U90" i="2"/>
  <c r="X90" i="2"/>
  <c r="AC90" i="2"/>
  <c r="P19" i="11"/>
  <c r="G19" i="11"/>
  <c r="I19" i="11"/>
  <c r="O19" i="11"/>
  <c r="E19" i="11"/>
  <c r="D19" i="11"/>
  <c r="H19" i="11"/>
  <c r="J19" i="11"/>
  <c r="M19" i="11"/>
  <c r="N19" i="11"/>
  <c r="K19" i="11"/>
  <c r="F19" i="11"/>
  <c r="L19" i="11"/>
  <c r="C25" i="2"/>
  <c r="C25" i="11"/>
  <c r="AR26" i="11"/>
  <c r="AL26" i="11"/>
  <c r="AN26" i="11"/>
  <c r="AP26" i="11"/>
  <c r="AJ26" i="11"/>
  <c r="AT26" i="11"/>
  <c r="AQ26" i="11"/>
  <c r="AS26" i="11"/>
  <c r="AV26" i="11"/>
  <c r="AM26" i="11"/>
  <c r="AK26" i="11"/>
  <c r="AO26" i="11"/>
  <c r="AU26" i="11"/>
  <c r="AI17" i="11"/>
  <c r="AI17" i="2"/>
  <c r="U19" i="2"/>
  <c r="AC19" i="2"/>
  <c r="AD19" i="2"/>
  <c r="Z19" i="2"/>
  <c r="AF19" i="2"/>
  <c r="W19" i="2"/>
  <c r="AE19" i="2"/>
  <c r="AA19" i="2"/>
  <c r="AB19" i="2"/>
  <c r="V19" i="2"/>
  <c r="Y19" i="2"/>
  <c r="X19" i="2"/>
  <c r="T19" i="2"/>
  <c r="W26" i="2"/>
  <c r="AB26" i="2"/>
  <c r="AC26" i="2"/>
  <c r="AE26" i="2"/>
  <c r="T26" i="2"/>
  <c r="Z26" i="2"/>
  <c r="U26" i="2"/>
  <c r="AD26" i="2"/>
  <c r="Y26" i="2"/>
  <c r="V26" i="2"/>
  <c r="AF26" i="2"/>
  <c r="AA26" i="2"/>
  <c r="X26" i="2"/>
  <c r="G18" i="3"/>
  <c r="G5" i="5"/>
  <c r="I101" i="7"/>
  <c r="S69" i="11"/>
  <c r="S69" i="2"/>
  <c r="Q68" i="2"/>
  <c r="AI78" i="11"/>
  <c r="AI78" i="2"/>
  <c r="Q69" i="2"/>
  <c r="W78" i="2"/>
  <c r="U78" i="2"/>
  <c r="AE78" i="2"/>
  <c r="X78" i="2"/>
  <c r="AA78" i="2"/>
  <c r="AB78" i="2"/>
  <c r="AC78" i="2"/>
  <c r="AD78" i="2"/>
  <c r="Y78" i="2"/>
  <c r="AF78" i="2"/>
  <c r="V78" i="2"/>
  <c r="T78" i="2"/>
  <c r="Z78" i="2"/>
  <c r="J135" i="7"/>
  <c r="Q78" i="2"/>
  <c r="AG68" i="2"/>
  <c r="Z78" i="11"/>
  <c r="X78" i="11"/>
  <c r="AC78" i="11"/>
  <c r="AF78" i="11"/>
  <c r="AD78" i="11"/>
  <c r="U78" i="11"/>
  <c r="V78" i="11"/>
  <c r="AB78" i="11"/>
  <c r="AA78" i="11"/>
  <c r="AE78" i="11"/>
  <c r="T78" i="11"/>
  <c r="W78" i="11"/>
  <c r="Y78" i="11"/>
  <c r="AI90" i="11"/>
  <c r="AI90" i="2"/>
  <c r="AW70" i="2"/>
  <c r="AG70" i="2"/>
  <c r="AG90" i="2"/>
  <c r="D172" i="7"/>
  <c r="D173" i="7"/>
  <c r="AW19" i="2"/>
  <c r="AG77" i="2"/>
  <c r="AG26" i="2"/>
  <c r="Q70" i="2"/>
  <c r="Q90" i="2"/>
  <c r="Q77" i="2"/>
  <c r="AW77" i="2"/>
  <c r="AG19" i="2"/>
  <c r="Q19" i="2"/>
  <c r="AW26" i="2"/>
  <c r="S11" i="11"/>
  <c r="S11" i="2"/>
  <c r="Z12" i="11"/>
  <c r="J12" i="11"/>
  <c r="W12" i="11"/>
  <c r="E12" i="11"/>
  <c r="U12" i="11"/>
  <c r="V12" i="11"/>
  <c r="G12" i="11"/>
  <c r="H12" i="11"/>
  <c r="X12" i="11"/>
  <c r="D12" i="11"/>
  <c r="AA12" i="11"/>
  <c r="T12" i="11"/>
  <c r="K12" i="11"/>
  <c r="Y12" i="11"/>
  <c r="I12" i="11"/>
  <c r="F12" i="11"/>
  <c r="X95" i="11"/>
  <c r="E95" i="11"/>
  <c r="Z95" i="11"/>
  <c r="H95" i="11"/>
  <c r="U95" i="11"/>
  <c r="K95" i="11"/>
  <c r="V95" i="11"/>
  <c r="F95" i="11"/>
  <c r="AA95" i="11"/>
  <c r="T95" i="11"/>
  <c r="G95" i="11"/>
  <c r="J95" i="11"/>
  <c r="I95" i="11"/>
  <c r="D95" i="11"/>
  <c r="W95" i="11"/>
  <c r="Y95" i="11"/>
  <c r="AK18" i="2"/>
  <c r="AO18" i="2"/>
  <c r="AR18" i="2"/>
  <c r="AS18" i="2"/>
  <c r="AU18" i="2"/>
  <c r="AQ18" i="2"/>
  <c r="AV18" i="2"/>
  <c r="AL18" i="2"/>
  <c r="AP18" i="2"/>
  <c r="AM18" i="2"/>
  <c r="AN18" i="2"/>
  <c r="AT18" i="2"/>
  <c r="AJ18" i="2"/>
  <c r="Y15" i="11"/>
  <c r="H15" i="11"/>
  <c r="T15" i="11"/>
  <c r="Z15" i="11"/>
  <c r="V15" i="11"/>
  <c r="E15" i="11"/>
  <c r="X15" i="11"/>
  <c r="AA15" i="11"/>
  <c r="F15" i="11"/>
  <c r="G15" i="11"/>
  <c r="I15" i="11"/>
  <c r="U15" i="11"/>
  <c r="D15" i="11"/>
  <c r="W15" i="11"/>
  <c r="C22" i="11"/>
  <c r="AP15" i="11"/>
  <c r="AL15" i="11"/>
  <c r="S22" i="11"/>
  <c r="AO15" i="11"/>
  <c r="AN15" i="11"/>
  <c r="AQ15" i="11"/>
  <c r="AK15" i="11"/>
  <c r="AM15" i="11"/>
  <c r="AJ15" i="11"/>
  <c r="X24" i="2"/>
  <c r="Z24" i="2"/>
  <c r="D24" i="2"/>
  <c r="F24" i="2"/>
  <c r="Y24" i="2"/>
  <c r="T24" i="2"/>
  <c r="V24" i="2"/>
  <c r="C30" i="2"/>
  <c r="I24" i="2"/>
  <c r="AA24" i="2"/>
  <c r="G24" i="2"/>
  <c r="U24" i="2"/>
  <c r="W24" i="2"/>
  <c r="H24" i="2"/>
  <c r="E24" i="2"/>
  <c r="AM12" i="2"/>
  <c r="AO12" i="2"/>
  <c r="AJ12" i="2"/>
  <c r="AN12" i="2"/>
  <c r="AQ12" i="2"/>
  <c r="AK12" i="2"/>
  <c r="AL12" i="2"/>
  <c r="AP12" i="2"/>
  <c r="H153" i="7"/>
  <c r="AG32" i="2"/>
  <c r="V95" i="2"/>
  <c r="T95" i="2"/>
  <c r="I95" i="2"/>
  <c r="K95" i="2"/>
  <c r="W95" i="2"/>
  <c r="H95" i="2"/>
  <c r="Y95" i="2"/>
  <c r="D95" i="2"/>
  <c r="Z95" i="2"/>
  <c r="X95" i="2"/>
  <c r="E95" i="2"/>
  <c r="J95" i="2"/>
  <c r="U95" i="2"/>
  <c r="G95" i="2"/>
  <c r="AA95" i="2"/>
  <c r="F95" i="2"/>
  <c r="AP18" i="11"/>
  <c r="AT18" i="11"/>
  <c r="AO18" i="11"/>
  <c r="AM18" i="11"/>
  <c r="AS18" i="11"/>
  <c r="AR18" i="11"/>
  <c r="AL18" i="11"/>
  <c r="AK18" i="11"/>
  <c r="AV18" i="11"/>
  <c r="AU18" i="11"/>
  <c r="AQ18" i="11"/>
  <c r="AJ18" i="11"/>
  <c r="AN18" i="11"/>
  <c r="D16" i="11"/>
  <c r="L16" i="11"/>
  <c r="J16" i="11"/>
  <c r="P16" i="11"/>
  <c r="I16" i="11"/>
  <c r="O16" i="11"/>
  <c r="E16" i="11"/>
  <c r="H16" i="11"/>
  <c r="F16" i="11"/>
  <c r="G16" i="11"/>
  <c r="N16" i="11"/>
  <c r="M16" i="11"/>
  <c r="K16" i="11"/>
  <c r="J17" i="11"/>
  <c r="F17" i="11"/>
  <c r="E17" i="11"/>
  <c r="K17" i="11"/>
  <c r="L17" i="11"/>
  <c r="M17" i="11"/>
  <c r="G17" i="11"/>
  <c r="I17" i="11"/>
  <c r="H17" i="11"/>
  <c r="D17" i="11"/>
  <c r="N17" i="11"/>
  <c r="O17" i="11"/>
  <c r="P17" i="11"/>
  <c r="AW32" i="2"/>
  <c r="Y17" i="11"/>
  <c r="X17" i="11"/>
  <c r="AB17" i="11"/>
  <c r="T17" i="11"/>
  <c r="Z17" i="11"/>
  <c r="AF17" i="11"/>
  <c r="V17" i="11"/>
  <c r="AE17" i="11"/>
  <c r="AA17" i="11"/>
  <c r="AC17" i="11"/>
  <c r="W17" i="11"/>
  <c r="AD17" i="11"/>
  <c r="U17" i="11"/>
  <c r="AO17" i="11"/>
  <c r="AJ17" i="11"/>
  <c r="AV17" i="11"/>
  <c r="AQ17" i="11"/>
  <c r="AR17" i="11"/>
  <c r="AU17" i="11"/>
  <c r="AM17" i="11"/>
  <c r="AN17" i="11"/>
  <c r="AS17" i="11"/>
  <c r="AT17" i="11"/>
  <c r="AL17" i="11"/>
  <c r="AP17" i="11"/>
  <c r="AK17" i="11"/>
  <c r="K27" i="11"/>
  <c r="N27" i="11"/>
  <c r="I27" i="11"/>
  <c r="H27" i="11"/>
  <c r="P27" i="11"/>
  <c r="G27" i="11"/>
  <c r="L27" i="11"/>
  <c r="O27" i="11"/>
  <c r="J27" i="11"/>
  <c r="E27" i="11"/>
  <c r="D27" i="11"/>
  <c r="F27" i="11"/>
  <c r="M27" i="11"/>
  <c r="D24" i="11"/>
  <c r="H24" i="11"/>
  <c r="V24" i="11"/>
  <c r="E24" i="11"/>
  <c r="I24" i="11"/>
  <c r="G24" i="11"/>
  <c r="U24" i="11"/>
  <c r="AA24" i="11"/>
  <c r="T24" i="11"/>
  <c r="Y24" i="11"/>
  <c r="F24" i="11"/>
  <c r="X24" i="11"/>
  <c r="W24" i="11"/>
  <c r="Z24" i="11"/>
  <c r="C30" i="11"/>
  <c r="S81" i="2"/>
  <c r="S81" i="11"/>
  <c r="D24" i="3"/>
  <c r="U25" i="2"/>
  <c r="T25" i="2"/>
  <c r="AB25" i="2"/>
  <c r="W25" i="2"/>
  <c r="AD25" i="2"/>
  <c r="AF25" i="2"/>
  <c r="X25" i="2"/>
  <c r="Z25" i="2"/>
  <c r="Y25" i="2"/>
  <c r="AC25" i="2"/>
  <c r="AA25" i="2"/>
  <c r="V25" i="2"/>
  <c r="AE25" i="2"/>
  <c r="C11" i="11"/>
  <c r="C11" i="2"/>
  <c r="C6" i="3"/>
  <c r="AN95" i="2"/>
  <c r="AO95" i="2"/>
  <c r="AJ95" i="2"/>
  <c r="AL95" i="2"/>
  <c r="AQ95" i="2"/>
  <c r="AK95" i="2"/>
  <c r="AP95" i="2"/>
  <c r="AM95" i="2"/>
  <c r="AK16" i="2"/>
  <c r="AT16" i="2"/>
  <c r="AS16" i="2"/>
  <c r="AL16" i="2"/>
  <c r="AO16" i="2"/>
  <c r="AQ16" i="2"/>
  <c r="AJ16" i="2"/>
  <c r="AR16" i="2"/>
  <c r="AM16" i="2"/>
  <c r="AV16" i="2"/>
  <c r="AP16" i="2"/>
  <c r="AU16" i="2"/>
  <c r="AN16" i="2"/>
  <c r="AG36" i="2"/>
  <c r="W27" i="2"/>
  <c r="X27" i="2"/>
  <c r="AC27" i="2"/>
  <c r="AD27" i="2"/>
  <c r="T27" i="2"/>
  <c r="U27" i="2"/>
  <c r="AB27" i="2"/>
  <c r="Y27" i="2"/>
  <c r="AA27" i="2"/>
  <c r="AF27" i="2"/>
  <c r="AM102" i="2"/>
  <c r="AE27" i="2"/>
  <c r="V27" i="2"/>
  <c r="Z27" i="2"/>
  <c r="P16" i="2"/>
  <c r="O16" i="2"/>
  <c r="G16" i="2"/>
  <c r="D16" i="2"/>
  <c r="L16" i="2"/>
  <c r="I16" i="2"/>
  <c r="J16" i="2"/>
  <c r="F16" i="2"/>
  <c r="M16" i="2"/>
  <c r="H16" i="2"/>
  <c r="K16" i="2"/>
  <c r="N16" i="2"/>
  <c r="E16" i="2"/>
  <c r="I18" i="2"/>
  <c r="F18" i="2"/>
  <c r="O18" i="2"/>
  <c r="M18" i="2"/>
  <c r="J18" i="2"/>
  <c r="H18" i="2"/>
  <c r="K18" i="2"/>
  <c r="N18" i="2"/>
  <c r="P18" i="2"/>
  <c r="E18" i="2"/>
  <c r="L18" i="2"/>
  <c r="G18" i="2"/>
  <c r="D18" i="2"/>
  <c r="AJ24" i="11"/>
  <c r="AK24" i="11"/>
  <c r="AO24" i="11"/>
  <c r="AN24" i="11"/>
  <c r="AM24" i="11"/>
  <c r="AQ24" i="11"/>
  <c r="AP24" i="11"/>
  <c r="AL24" i="11"/>
  <c r="S82" i="11"/>
  <c r="S82" i="2"/>
  <c r="AW36" i="2"/>
  <c r="S91" i="11"/>
  <c r="S91" i="2"/>
  <c r="G25" i="11"/>
  <c r="F25" i="11"/>
  <c r="K25" i="11"/>
  <c r="M25" i="11"/>
  <c r="N25" i="11"/>
  <c r="D25" i="11"/>
  <c r="P25" i="11"/>
  <c r="H25" i="11"/>
  <c r="O25" i="11"/>
  <c r="L25" i="11"/>
  <c r="E25" i="11"/>
  <c r="J25" i="11"/>
  <c r="I25" i="11"/>
  <c r="G160" i="7"/>
  <c r="G161" i="7"/>
  <c r="G158" i="7"/>
  <c r="G159" i="7"/>
  <c r="AM25" i="2"/>
  <c r="AJ25" i="2"/>
  <c r="AK25" i="2"/>
  <c r="AN25" i="2"/>
  <c r="AQ25" i="2"/>
  <c r="AU25" i="2"/>
  <c r="AR25" i="2"/>
  <c r="AS25" i="2"/>
  <c r="AO25" i="2"/>
  <c r="AP25" i="2"/>
  <c r="AV25" i="2"/>
  <c r="AL25" i="2"/>
  <c r="AT25" i="2"/>
  <c r="T18" i="2"/>
  <c r="V18" i="2"/>
  <c r="W18" i="2"/>
  <c r="AF18" i="2"/>
  <c r="U18" i="2"/>
  <c r="Y18" i="2"/>
  <c r="AD18" i="2"/>
  <c r="AA18" i="2"/>
  <c r="AB18" i="2"/>
  <c r="Z18" i="2"/>
  <c r="AE18" i="2"/>
  <c r="AC18" i="2"/>
  <c r="X18" i="2"/>
  <c r="C73" i="2"/>
  <c r="C73" i="11"/>
  <c r="C70" i="3"/>
  <c r="V16" i="2"/>
  <c r="W16" i="2"/>
  <c r="AF16" i="2"/>
  <c r="AA16" i="2"/>
  <c r="AC16" i="2"/>
  <c r="Z16" i="2"/>
  <c r="U16" i="2"/>
  <c r="Y16" i="2"/>
  <c r="AB16" i="2"/>
  <c r="AE16" i="2"/>
  <c r="AD16" i="2"/>
  <c r="X16" i="2"/>
  <c r="T16" i="2"/>
  <c r="AM27" i="2"/>
  <c r="AT27" i="2"/>
  <c r="AK27" i="2"/>
  <c r="AN27" i="2"/>
  <c r="AV27" i="2"/>
  <c r="AQ27" i="2"/>
  <c r="AR27" i="2"/>
  <c r="AO27" i="2"/>
  <c r="AL27" i="2"/>
  <c r="AJ27" i="2"/>
  <c r="AU27" i="2"/>
  <c r="AP27" i="2"/>
  <c r="AS27" i="2"/>
  <c r="M17" i="2"/>
  <c r="J17" i="2"/>
  <c r="H17" i="2"/>
  <c r="K17" i="2"/>
  <c r="O17" i="2"/>
  <c r="D17" i="2"/>
  <c r="N17" i="2"/>
  <c r="L17" i="2"/>
  <c r="E17" i="2"/>
  <c r="G17" i="2"/>
  <c r="P17" i="2"/>
  <c r="I17" i="2"/>
  <c r="F17" i="2"/>
  <c r="AI22" i="11"/>
  <c r="AE17" i="2"/>
  <c r="U17" i="2"/>
  <c r="Z17" i="2"/>
  <c r="W17" i="2"/>
  <c r="AA17" i="2"/>
  <c r="AB17" i="2"/>
  <c r="AC17" i="2"/>
  <c r="V17" i="2"/>
  <c r="AD17" i="2"/>
  <c r="Y17" i="2"/>
  <c r="AF17" i="2"/>
  <c r="X17" i="2"/>
  <c r="T17" i="2"/>
  <c r="AV17" i="2"/>
  <c r="AU17" i="2"/>
  <c r="AT17" i="2"/>
  <c r="AK17" i="2"/>
  <c r="AM17" i="2"/>
  <c r="AQ17" i="2"/>
  <c r="AN17" i="2"/>
  <c r="AL17" i="2"/>
  <c r="AS17" i="2"/>
  <c r="AR17" i="2"/>
  <c r="AO17" i="2"/>
  <c r="AJ17" i="2"/>
  <c r="AP17" i="2"/>
  <c r="D25" i="2"/>
  <c r="O25" i="2"/>
  <c r="P25" i="2"/>
  <c r="H25" i="2"/>
  <c r="N25" i="2"/>
  <c r="E25" i="2"/>
  <c r="K25" i="2"/>
  <c r="I25" i="2"/>
  <c r="F25" i="2"/>
  <c r="L25" i="2"/>
  <c r="M25" i="2"/>
  <c r="G25" i="2"/>
  <c r="J25" i="2"/>
  <c r="AU25" i="11"/>
  <c r="AP25" i="11"/>
  <c r="AV25" i="11"/>
  <c r="AS25" i="11"/>
  <c r="AJ25" i="11"/>
  <c r="AQ25" i="11"/>
  <c r="AT25" i="11"/>
  <c r="AK25" i="11"/>
  <c r="AR25" i="11"/>
  <c r="AO25" i="11"/>
  <c r="AM25" i="11"/>
  <c r="AN25" i="11"/>
  <c r="AL25" i="11"/>
  <c r="AP95" i="11"/>
  <c r="AQ95" i="11"/>
  <c r="AK95" i="11"/>
  <c r="AN95" i="11"/>
  <c r="AM95" i="11"/>
  <c r="AL95" i="11"/>
  <c r="AO95" i="11"/>
  <c r="AJ95" i="11"/>
  <c r="AI73" i="2"/>
  <c r="AI73" i="11"/>
  <c r="AB16" i="11"/>
  <c r="X16" i="11"/>
  <c r="T16" i="11"/>
  <c r="U16" i="11"/>
  <c r="AC16" i="11"/>
  <c r="Y16" i="11"/>
  <c r="AE16" i="11"/>
  <c r="Z16" i="11"/>
  <c r="V16" i="11"/>
  <c r="AA16" i="11"/>
  <c r="AD16" i="11"/>
  <c r="W16" i="11"/>
  <c r="AF16" i="11"/>
  <c r="AV27" i="11"/>
  <c r="AS27" i="11"/>
  <c r="AK27" i="11"/>
  <c r="AP27" i="11"/>
  <c r="AR27" i="11"/>
  <c r="AQ27" i="11"/>
  <c r="AJ27" i="11"/>
  <c r="AO27" i="11"/>
  <c r="AL27" i="11"/>
  <c r="AU27" i="11"/>
  <c r="AT27" i="11"/>
  <c r="AM27" i="11"/>
  <c r="AN27" i="11"/>
  <c r="AN15" i="2"/>
  <c r="AP15" i="2"/>
  <c r="S22" i="2"/>
  <c r="AM15" i="2"/>
  <c r="AJ15" i="2"/>
  <c r="AO15" i="2"/>
  <c r="AK15" i="2"/>
  <c r="AQ15" i="2"/>
  <c r="AL15" i="2"/>
  <c r="P27" i="2"/>
  <c r="E27" i="2"/>
  <c r="J27" i="2"/>
  <c r="F27" i="2"/>
  <c r="I27" i="2"/>
  <c r="N27" i="2"/>
  <c r="G27" i="2"/>
  <c r="K27" i="2"/>
  <c r="H27" i="2"/>
  <c r="L27" i="2"/>
  <c r="D27" i="2"/>
  <c r="O27" i="2"/>
  <c r="M27" i="2"/>
  <c r="AP12" i="11"/>
  <c r="AL12" i="11"/>
  <c r="AK12" i="11"/>
  <c r="AQ12" i="11"/>
  <c r="AJ12" i="11"/>
  <c r="AN12" i="11"/>
  <c r="AM12" i="11"/>
  <c r="AO12" i="11"/>
  <c r="Q32" i="2"/>
  <c r="Q36" i="2"/>
  <c r="AD25" i="11"/>
  <c r="Z25" i="11"/>
  <c r="AE25" i="11"/>
  <c r="T25" i="11"/>
  <c r="V25" i="11"/>
  <c r="AF25" i="11"/>
  <c r="Y25" i="11"/>
  <c r="AC25" i="11"/>
  <c r="X25" i="11"/>
  <c r="U25" i="11"/>
  <c r="AA25" i="11"/>
  <c r="AB25" i="11"/>
  <c r="W25" i="11"/>
  <c r="Y12" i="2"/>
  <c r="W12" i="2"/>
  <c r="I12" i="2"/>
  <c r="G12" i="2"/>
  <c r="T12" i="2"/>
  <c r="F12" i="2"/>
  <c r="U12" i="2"/>
  <c r="Z12" i="2"/>
  <c r="K12" i="2"/>
  <c r="X12" i="2"/>
  <c r="AA12" i="2"/>
  <c r="H12" i="2"/>
  <c r="E12" i="2"/>
  <c r="V12" i="2"/>
  <c r="J12" i="2"/>
  <c r="D12" i="2"/>
  <c r="AA18" i="11"/>
  <c r="AD18" i="11"/>
  <c r="U18" i="11"/>
  <c r="X18" i="11"/>
  <c r="AE18" i="11"/>
  <c r="Z18" i="11"/>
  <c r="AC18" i="11"/>
  <c r="Y18" i="11"/>
  <c r="T18" i="11"/>
  <c r="AB18" i="11"/>
  <c r="W18" i="11"/>
  <c r="V18" i="11"/>
  <c r="AF18" i="11"/>
  <c r="AP16" i="11"/>
  <c r="AQ16" i="11"/>
  <c r="AS16" i="11"/>
  <c r="AV16" i="11"/>
  <c r="AK16" i="11"/>
  <c r="AO16" i="11"/>
  <c r="AR16" i="11"/>
  <c r="AM16" i="11"/>
  <c r="AT16" i="11"/>
  <c r="AL16" i="11"/>
  <c r="AJ16" i="11"/>
  <c r="AN16" i="11"/>
  <c r="AU16" i="11"/>
  <c r="AE27" i="11"/>
  <c r="X27" i="11"/>
  <c r="T27" i="11"/>
  <c r="U27" i="11"/>
  <c r="W27" i="11"/>
  <c r="AB27" i="11"/>
  <c r="Z27" i="11"/>
  <c r="AD27" i="11"/>
  <c r="AC27" i="11"/>
  <c r="AF27" i="11"/>
  <c r="AM102" i="11"/>
  <c r="V27" i="11"/>
  <c r="Y27" i="11"/>
  <c r="AA27" i="11"/>
  <c r="S73" i="2"/>
  <c r="S73" i="11"/>
  <c r="J18" i="11"/>
  <c r="F18" i="11"/>
  <c r="I18" i="11"/>
  <c r="O18" i="11"/>
  <c r="M18" i="11"/>
  <c r="P18" i="11"/>
  <c r="N18" i="11"/>
  <c r="D18" i="11"/>
  <c r="E18" i="11"/>
  <c r="K18" i="11"/>
  <c r="L18" i="11"/>
  <c r="H18" i="11"/>
  <c r="G18" i="11"/>
  <c r="W15" i="2"/>
  <c r="Y15" i="2"/>
  <c r="D15" i="2"/>
  <c r="E15" i="2"/>
  <c r="H15" i="2"/>
  <c r="F15" i="2"/>
  <c r="T15" i="2"/>
  <c r="G15" i="2"/>
  <c r="Z15" i="2"/>
  <c r="U15" i="2"/>
  <c r="C22" i="2"/>
  <c r="V15" i="2"/>
  <c r="X15" i="2"/>
  <c r="AA15" i="2"/>
  <c r="I15" i="2"/>
  <c r="AJ24" i="2"/>
  <c r="AO24" i="2"/>
  <c r="AK24" i="2"/>
  <c r="AM24" i="2"/>
  <c r="AP24" i="2"/>
  <c r="AQ24" i="2"/>
  <c r="AN24" i="2"/>
  <c r="AL24" i="2"/>
  <c r="I154" i="7"/>
  <c r="AI22" i="2"/>
  <c r="AI11" i="11"/>
  <c r="AI11" i="2"/>
  <c r="F168" i="7"/>
  <c r="AD69" i="2"/>
  <c r="AE69" i="2"/>
  <c r="AA69" i="2"/>
  <c r="Y69" i="2"/>
  <c r="V69" i="2"/>
  <c r="T69" i="2"/>
  <c r="AB69" i="2"/>
  <c r="W69" i="2"/>
  <c r="U69" i="2"/>
  <c r="Z69" i="2"/>
  <c r="X69" i="2"/>
  <c r="AF69" i="2"/>
  <c r="AC69" i="2"/>
  <c r="AF69" i="11"/>
  <c r="AB69" i="11"/>
  <c r="AD69" i="11"/>
  <c r="Y69" i="11"/>
  <c r="U69" i="11"/>
  <c r="AC69" i="11"/>
  <c r="W69" i="11"/>
  <c r="V69" i="11"/>
  <c r="AA69" i="11"/>
  <c r="X69" i="11"/>
  <c r="T69" i="11"/>
  <c r="Z69" i="11"/>
  <c r="AE69" i="11"/>
  <c r="J101" i="7"/>
  <c r="AI69" i="2"/>
  <c r="AI69" i="11"/>
  <c r="AV78" i="2"/>
  <c r="AN78" i="2"/>
  <c r="AP78" i="2"/>
  <c r="AJ78" i="2"/>
  <c r="AL78" i="2"/>
  <c r="AS78" i="2"/>
  <c r="AM78" i="2"/>
  <c r="AR78" i="2"/>
  <c r="AK78" i="2"/>
  <c r="AU78" i="2"/>
  <c r="AT78" i="2"/>
  <c r="AQ78" i="2"/>
  <c r="AO78" i="2"/>
  <c r="AV78" i="11"/>
  <c r="AM78" i="11"/>
  <c r="AQ78" i="11"/>
  <c r="AT78" i="11"/>
  <c r="AN78" i="11"/>
  <c r="AO78" i="11"/>
  <c r="AU78" i="11"/>
  <c r="AL78" i="11"/>
  <c r="AJ78" i="11"/>
  <c r="AR78" i="11"/>
  <c r="AP78" i="11"/>
  <c r="AK78" i="11"/>
  <c r="AS78" i="11"/>
  <c r="AG78" i="2"/>
  <c r="AN90" i="2"/>
  <c r="AJ90" i="2"/>
  <c r="AL90" i="2"/>
  <c r="AQ90" i="2"/>
  <c r="AO90" i="2"/>
  <c r="AR90" i="2"/>
  <c r="AU90" i="2"/>
  <c r="AP90" i="2"/>
  <c r="AM90" i="2"/>
  <c r="AV90" i="2"/>
  <c r="AK90" i="2"/>
  <c r="AS90" i="2"/>
  <c r="AT90" i="2"/>
  <c r="AU90" i="11"/>
  <c r="AJ90" i="11"/>
  <c r="AP90" i="11"/>
  <c r="AT90" i="11"/>
  <c r="AR90" i="11"/>
  <c r="AS90" i="11"/>
  <c r="AM90" i="11"/>
  <c r="AL90" i="11"/>
  <c r="AO90" i="11"/>
  <c r="AN90" i="11"/>
  <c r="AQ90" i="11"/>
  <c r="AV90" i="11"/>
  <c r="AK90" i="11"/>
  <c r="P95" i="11"/>
  <c r="AK22" i="2"/>
  <c r="AE24" i="11"/>
  <c r="AC24" i="2"/>
  <c r="AE15" i="11"/>
  <c r="T22" i="2"/>
  <c r="AV95" i="11"/>
  <c r="AU15" i="11"/>
  <c r="AU22" i="11"/>
  <c r="AU15" i="2"/>
  <c r="AU22" i="2"/>
  <c r="G22" i="2"/>
  <c r="AF95" i="11"/>
  <c r="J24" i="2"/>
  <c r="O24" i="2"/>
  <c r="O30" i="2"/>
  <c r="N95" i="2"/>
  <c r="AF95" i="2"/>
  <c r="L95" i="11"/>
  <c r="J15" i="2"/>
  <c r="L15" i="2"/>
  <c r="L22" i="2"/>
  <c r="P12" i="2"/>
  <c r="AS15" i="2"/>
  <c r="AD24" i="11"/>
  <c r="AE24" i="2"/>
  <c r="AD15" i="11"/>
  <c r="AD22" i="11"/>
  <c r="E22" i="2"/>
  <c r="AG25" i="2"/>
  <c r="Q17" i="2"/>
  <c r="AG18" i="2"/>
  <c r="AW17" i="2"/>
  <c r="V102" i="11"/>
  <c r="M12" i="11"/>
  <c r="AT12" i="11"/>
  <c r="L12" i="2"/>
  <c r="AC12" i="11"/>
  <c r="AV12" i="2"/>
  <c r="AG16" i="2"/>
  <c r="AW25" i="2"/>
  <c r="Q25" i="2"/>
  <c r="V102" i="2"/>
  <c r="Q18" i="2"/>
  <c r="U102" i="2"/>
  <c r="H22" i="11"/>
  <c r="AW18" i="2"/>
  <c r="V22" i="2"/>
  <c r="AS22" i="2"/>
  <c r="AG17" i="2"/>
  <c r="AW16" i="2"/>
  <c r="I22" i="2"/>
  <c r="AQ22" i="2"/>
  <c r="AN22" i="11"/>
  <c r="AU95" i="2"/>
  <c r="L12" i="11"/>
  <c r="AC12" i="2"/>
  <c r="AS12" i="11"/>
  <c r="AG27" i="2"/>
  <c r="I30" i="11"/>
  <c r="O12" i="2"/>
  <c r="AW27" i="2"/>
  <c r="L95" i="2"/>
  <c r="AU12" i="2"/>
  <c r="AC15" i="11"/>
  <c r="AC22" i="11"/>
  <c r="O95" i="11"/>
  <c r="AE95" i="11"/>
  <c r="N12" i="2"/>
  <c r="AU95" i="11"/>
  <c r="Q27" i="2"/>
  <c r="AC24" i="11"/>
  <c r="D30" i="11"/>
  <c r="M95" i="2"/>
  <c r="AB12" i="11"/>
  <c r="AT95" i="11"/>
  <c r="M95" i="11"/>
  <c r="O12" i="11"/>
  <c r="AV11" i="2"/>
  <c r="AT11" i="2"/>
  <c r="AU11" i="2"/>
  <c r="AS24" i="2"/>
  <c r="AU24" i="2"/>
  <c r="AV24" i="2"/>
  <c r="AT24" i="2"/>
  <c r="AR24" i="2"/>
  <c r="AF15" i="2"/>
  <c r="AF22" i="2"/>
  <c r="AE91" i="11"/>
  <c r="AD91" i="11"/>
  <c r="T91" i="11"/>
  <c r="AA91" i="11"/>
  <c r="AB91" i="11"/>
  <c r="V91" i="11"/>
  <c r="W91" i="11"/>
  <c r="Z91" i="11"/>
  <c r="AF91" i="11"/>
  <c r="U91" i="11"/>
  <c r="Y91" i="11"/>
  <c r="AC91" i="11"/>
  <c r="X91" i="11"/>
  <c r="AV24" i="11"/>
  <c r="AU24" i="11"/>
  <c r="AT24" i="11"/>
  <c r="AR24" i="11"/>
  <c r="AS24" i="11"/>
  <c r="Z81" i="11"/>
  <c r="AF81" i="11"/>
  <c r="V81" i="11"/>
  <c r="U81" i="11"/>
  <c r="T81" i="11"/>
  <c r="AA81" i="11"/>
  <c r="Y81" i="11"/>
  <c r="AB81" i="11"/>
  <c r="AE81" i="11"/>
  <c r="AD81" i="11"/>
  <c r="X81" i="11"/>
  <c r="AC81" i="11"/>
  <c r="W81" i="11"/>
  <c r="AE12" i="2"/>
  <c r="F30" i="2"/>
  <c r="AE22" i="11"/>
  <c r="G22" i="11"/>
  <c r="E172" i="7"/>
  <c r="E173" i="7"/>
  <c r="AT11" i="11"/>
  <c r="AU11" i="11"/>
  <c r="AV11" i="11"/>
  <c r="D22" i="2"/>
  <c r="AO22" i="2"/>
  <c r="AK102" i="11"/>
  <c r="AB95" i="11"/>
  <c r="AC95" i="2"/>
  <c r="AE95" i="2"/>
  <c r="AV95" i="2"/>
  <c r="O95" i="2"/>
  <c r="AB12" i="2"/>
  <c r="AS12" i="2"/>
  <c r="G30" i="2"/>
  <c r="D30" i="2"/>
  <c r="AL22" i="11"/>
  <c r="D22" i="11"/>
  <c r="V22" i="11"/>
  <c r="P12" i="11"/>
  <c r="AK11" i="2"/>
  <c r="AR11" i="2"/>
  <c r="AE11" i="2"/>
  <c r="AL11" i="2"/>
  <c r="AB11" i="2"/>
  <c r="AN11" i="2"/>
  <c r="AP11" i="2"/>
  <c r="AO11" i="2"/>
  <c r="AM11" i="2"/>
  <c r="AD11" i="2"/>
  <c r="AQ11" i="2"/>
  <c r="AJ11" i="2"/>
  <c r="AF11" i="2"/>
  <c r="AI82" i="11"/>
  <c r="AI82" i="2"/>
  <c r="U22" i="2"/>
  <c r="Y22" i="2"/>
  <c r="AS95" i="11"/>
  <c r="AF12" i="11"/>
  <c r="Z102" i="2"/>
  <c r="AC102" i="2"/>
  <c r="AC15" i="2"/>
  <c r="AC22" i="2"/>
  <c r="AJ22" i="2"/>
  <c r="AR95" i="11"/>
  <c r="H159" i="7"/>
  <c r="AT12" i="2"/>
  <c r="AB24" i="11"/>
  <c r="AD95" i="2"/>
  <c r="X11" i="2"/>
  <c r="V11" i="2"/>
  <c r="M11" i="2"/>
  <c r="F11" i="2"/>
  <c r="K11" i="2"/>
  <c r="U11" i="2"/>
  <c r="E11" i="2"/>
  <c r="N11" i="2"/>
  <c r="AA11" i="2"/>
  <c r="P11" i="2"/>
  <c r="W11" i="2"/>
  <c r="Z11" i="2"/>
  <c r="D11" i="2"/>
  <c r="J11" i="2"/>
  <c r="O11" i="2"/>
  <c r="T11" i="2"/>
  <c r="H11" i="2"/>
  <c r="L11" i="2"/>
  <c r="Y11" i="2"/>
  <c r="I11" i="2"/>
  <c r="G11" i="2"/>
  <c r="AT95" i="2"/>
  <c r="AR95" i="2"/>
  <c r="F30" i="11"/>
  <c r="P95" i="2"/>
  <c r="AD12" i="2"/>
  <c r="H30" i="2"/>
  <c r="AJ22" i="11"/>
  <c r="AK22" i="11"/>
  <c r="AO22" i="11"/>
  <c r="AP22" i="11"/>
  <c r="AR12" i="11"/>
  <c r="J15" i="11"/>
  <c r="P15" i="11"/>
  <c r="P22" i="11"/>
  <c r="U22" i="11"/>
  <c r="AA22" i="11"/>
  <c r="Z22" i="11"/>
  <c r="N95" i="11"/>
  <c r="AC95" i="11"/>
  <c r="N12" i="11"/>
  <c r="S10" i="11"/>
  <c r="S10" i="2"/>
  <c r="AB15" i="2"/>
  <c r="AB22" i="2"/>
  <c r="AK73" i="2"/>
  <c r="AS73" i="2"/>
  <c r="AM73" i="2"/>
  <c r="AO73" i="2"/>
  <c r="AQ73" i="2"/>
  <c r="AN73" i="2"/>
  <c r="AJ73" i="2"/>
  <c r="AV73" i="2"/>
  <c r="AL73" i="2"/>
  <c r="AP73" i="2"/>
  <c r="AT73" i="2"/>
  <c r="AU73" i="2"/>
  <c r="AR73" i="2"/>
  <c r="AI74" i="2"/>
  <c r="D73" i="2"/>
  <c r="D74" i="2"/>
  <c r="F73" i="2"/>
  <c r="F74" i="2"/>
  <c r="M73" i="2"/>
  <c r="M74" i="2"/>
  <c r="P73" i="2"/>
  <c r="P74" i="2"/>
  <c r="J73" i="2"/>
  <c r="J74" i="2"/>
  <c r="I73" i="2"/>
  <c r="I74" i="2"/>
  <c r="N73" i="2"/>
  <c r="N74" i="2"/>
  <c r="H73" i="2"/>
  <c r="H74" i="2"/>
  <c r="O73" i="2"/>
  <c r="O74" i="2"/>
  <c r="K73" i="2"/>
  <c r="K74" i="2"/>
  <c r="E73" i="2"/>
  <c r="E74" i="2"/>
  <c r="G73" i="2"/>
  <c r="G74" i="2"/>
  <c r="L73" i="2"/>
  <c r="L74" i="2"/>
  <c r="C74" i="2"/>
  <c r="H161" i="7"/>
  <c r="AS95" i="2"/>
  <c r="AI81" i="2"/>
  <c r="AI81" i="11"/>
  <c r="E24" i="3"/>
  <c r="W22" i="11"/>
  <c r="E22" i="11"/>
  <c r="AD24" i="2"/>
  <c r="AD15" i="2"/>
  <c r="AD22" i="2"/>
  <c r="AS15" i="11"/>
  <c r="AS22" i="11"/>
  <c r="S84" i="11"/>
  <c r="S84" i="2"/>
  <c r="AF24" i="11"/>
  <c r="AB95" i="2"/>
  <c r="C10" i="2"/>
  <c r="C10" i="11"/>
  <c r="C9" i="3"/>
  <c r="Y81" i="2"/>
  <c r="V81" i="2"/>
  <c r="Z81" i="2"/>
  <c r="AF81" i="2"/>
  <c r="X81" i="2"/>
  <c r="AE81" i="2"/>
  <c r="AD81" i="2"/>
  <c r="T81" i="2"/>
  <c r="W81" i="2"/>
  <c r="AA81" i="2"/>
  <c r="U81" i="2"/>
  <c r="AB81" i="2"/>
  <c r="AC81" i="2"/>
  <c r="J24" i="11"/>
  <c r="P24" i="11"/>
  <c r="P30" i="11"/>
  <c r="E30" i="11"/>
  <c r="Z102" i="11"/>
  <c r="AC102" i="11"/>
  <c r="H160" i="7"/>
  <c r="E30" i="2"/>
  <c r="AB15" i="11"/>
  <c r="AB22" i="11"/>
  <c r="AF15" i="11"/>
  <c r="AF22" i="11"/>
  <c r="AV12" i="11"/>
  <c r="F22" i="11"/>
  <c r="Y22" i="11"/>
  <c r="AI91" i="2"/>
  <c r="AI91" i="11"/>
  <c r="AV15" i="2"/>
  <c r="AV22" i="2"/>
  <c r="AF24" i="2"/>
  <c r="AA22" i="2"/>
  <c r="F22" i="2"/>
  <c r="AE73" i="11"/>
  <c r="AE74" i="11"/>
  <c r="V73" i="11"/>
  <c r="V74" i="11"/>
  <c r="X73" i="11"/>
  <c r="X74" i="11"/>
  <c r="AA73" i="11"/>
  <c r="AA74" i="11"/>
  <c r="T73" i="11"/>
  <c r="Z73" i="11"/>
  <c r="Z74" i="11"/>
  <c r="AB73" i="11"/>
  <c r="AB74" i="11"/>
  <c r="AC73" i="11"/>
  <c r="AC74" i="11"/>
  <c r="U73" i="11"/>
  <c r="U74" i="11"/>
  <c r="AF73" i="11"/>
  <c r="AF74" i="11"/>
  <c r="AD73" i="11"/>
  <c r="Y73" i="11"/>
  <c r="Y74" i="11"/>
  <c r="W73" i="11"/>
  <c r="S74" i="11"/>
  <c r="M12" i="2"/>
  <c r="AE12" i="11"/>
  <c r="AD12" i="11"/>
  <c r="AP22" i="2"/>
  <c r="AD95" i="11"/>
  <c r="AV15" i="11"/>
  <c r="AV22" i="11"/>
  <c r="W82" i="2"/>
  <c r="V82" i="2"/>
  <c r="Z82" i="2"/>
  <c r="X82" i="2"/>
  <c r="AD82" i="2"/>
  <c r="AB82" i="2"/>
  <c r="AC82" i="2"/>
  <c r="AF82" i="2"/>
  <c r="AA82" i="2"/>
  <c r="AE82" i="2"/>
  <c r="U82" i="2"/>
  <c r="T82" i="2"/>
  <c r="Y82" i="2"/>
  <c r="AI10" i="11"/>
  <c r="AI10" i="2"/>
  <c r="AT15" i="2"/>
  <c r="AT22" i="2"/>
  <c r="AR15" i="2"/>
  <c r="AR22" i="2"/>
  <c r="J154" i="7"/>
  <c r="AB24" i="2"/>
  <c r="X22" i="2"/>
  <c r="Z22" i="2"/>
  <c r="H22" i="2"/>
  <c r="W22" i="2"/>
  <c r="T73" i="2"/>
  <c r="T74" i="2"/>
  <c r="U73" i="2"/>
  <c r="U74" i="2"/>
  <c r="Z73" i="2"/>
  <c r="Z74" i="2"/>
  <c r="AA73" i="2"/>
  <c r="AA74" i="2"/>
  <c r="AC73" i="2"/>
  <c r="AC74" i="2"/>
  <c r="AE73" i="2"/>
  <c r="AE74" i="2"/>
  <c r="AD73" i="2"/>
  <c r="AD74" i="2"/>
  <c r="Y73" i="2"/>
  <c r="X73" i="2"/>
  <c r="X74" i="2"/>
  <c r="W73" i="2"/>
  <c r="V73" i="2"/>
  <c r="V74" i="2"/>
  <c r="AF73" i="2"/>
  <c r="AB73" i="2"/>
  <c r="AB74" i="2"/>
  <c r="S74" i="2"/>
  <c r="AL22" i="2"/>
  <c r="AE15" i="2"/>
  <c r="AE22" i="2"/>
  <c r="AM22" i="2"/>
  <c r="AN22" i="2"/>
  <c r="AM73" i="11"/>
  <c r="AL73" i="11"/>
  <c r="AO73" i="11"/>
  <c r="AR73" i="11"/>
  <c r="AJ73" i="11"/>
  <c r="AS73" i="11"/>
  <c r="AP73" i="11"/>
  <c r="AQ73" i="11"/>
  <c r="AT73" i="11"/>
  <c r="AK73" i="11"/>
  <c r="AU73" i="11"/>
  <c r="AV73" i="11"/>
  <c r="AN73" i="11"/>
  <c r="AI74" i="11"/>
  <c r="AT15" i="11"/>
  <c r="AT22" i="11"/>
  <c r="AR15" i="11"/>
  <c r="AR22" i="11"/>
  <c r="AK102" i="2"/>
  <c r="L73" i="11"/>
  <c r="L74" i="11"/>
  <c r="M73" i="11"/>
  <c r="M74" i="11"/>
  <c r="H73" i="11"/>
  <c r="H74" i="11"/>
  <c r="N73" i="11"/>
  <c r="N74" i="11"/>
  <c r="P73" i="11"/>
  <c r="P74" i="11"/>
  <c r="O73" i="11"/>
  <c r="O74" i="11"/>
  <c r="I73" i="11"/>
  <c r="I74" i="11"/>
  <c r="K73" i="11"/>
  <c r="K74" i="11"/>
  <c r="G73" i="11"/>
  <c r="G74" i="11"/>
  <c r="F73" i="11"/>
  <c r="F74" i="11"/>
  <c r="E73" i="11"/>
  <c r="E74" i="11"/>
  <c r="D73" i="11"/>
  <c r="D74" i="11"/>
  <c r="J73" i="11"/>
  <c r="J74" i="11"/>
  <c r="C74" i="11"/>
  <c r="H158" i="7"/>
  <c r="T91" i="2"/>
  <c r="AB91" i="2"/>
  <c r="AA91" i="2"/>
  <c r="AC91" i="2"/>
  <c r="Y91" i="2"/>
  <c r="AE91" i="2"/>
  <c r="AF91" i="2"/>
  <c r="W91" i="2"/>
  <c r="Z91" i="2"/>
  <c r="X91" i="2"/>
  <c r="AD91" i="2"/>
  <c r="U91" i="2"/>
  <c r="V91" i="2"/>
  <c r="AR12" i="2"/>
  <c r="T82" i="11"/>
  <c r="Z82" i="11"/>
  <c r="X82" i="11"/>
  <c r="V82" i="11"/>
  <c r="AD82" i="11"/>
  <c r="AB82" i="11"/>
  <c r="W82" i="11"/>
  <c r="AE82" i="11"/>
  <c r="AA82" i="11"/>
  <c r="AC82" i="11"/>
  <c r="U82" i="11"/>
  <c r="AF82" i="11"/>
  <c r="Y82" i="11"/>
  <c r="Q16" i="2"/>
  <c r="P11" i="11"/>
  <c r="K11" i="11"/>
  <c r="L11" i="11"/>
  <c r="W11" i="11"/>
  <c r="O11" i="11"/>
  <c r="V11" i="11"/>
  <c r="U11" i="11"/>
  <c r="F11" i="11"/>
  <c r="M11" i="11"/>
  <c r="Z11" i="11"/>
  <c r="X11" i="11"/>
  <c r="T11" i="11"/>
  <c r="Y11" i="11"/>
  <c r="I11" i="11"/>
  <c r="E11" i="11"/>
  <c r="G11" i="11"/>
  <c r="AA11" i="11"/>
  <c r="H11" i="11"/>
  <c r="J11" i="11"/>
  <c r="N11" i="11"/>
  <c r="D11" i="11"/>
  <c r="S28" i="2"/>
  <c r="S28" i="11"/>
  <c r="D26" i="3"/>
  <c r="G30" i="11"/>
  <c r="H30" i="11"/>
  <c r="U102" i="11"/>
  <c r="I153" i="7"/>
  <c r="F24" i="3"/>
  <c r="F26" i="3"/>
  <c r="AF12" i="2"/>
  <c r="I30" i="2"/>
  <c r="AM22" i="11"/>
  <c r="AQ22" i="11"/>
  <c r="AU12" i="11"/>
  <c r="I22" i="11"/>
  <c r="X22" i="11"/>
  <c r="T22" i="11"/>
  <c r="AR11" i="11"/>
  <c r="AO11" i="11"/>
  <c r="AQ11" i="11"/>
  <c r="AJ11" i="11"/>
  <c r="AB11" i="11"/>
  <c r="AN11" i="11"/>
  <c r="AL11" i="11"/>
  <c r="AM11" i="11"/>
  <c r="AE11" i="11"/>
  <c r="AK11" i="11"/>
  <c r="AP11" i="11"/>
  <c r="AD11" i="11"/>
  <c r="AF11" i="11"/>
  <c r="AQ69" i="11"/>
  <c r="AQ74" i="11"/>
  <c r="W74" i="2"/>
  <c r="AD74" i="11"/>
  <c r="AT69" i="2"/>
  <c r="AT74" i="2"/>
  <c r="AU69" i="2"/>
  <c r="AU74" i="2"/>
  <c r="AG69" i="2"/>
  <c r="AK69" i="11"/>
  <c r="AK74" i="11"/>
  <c r="AS69" i="11"/>
  <c r="AS74" i="11"/>
  <c r="AF74" i="2"/>
  <c r="Y74" i="2"/>
  <c r="W74" i="11"/>
  <c r="T74" i="11"/>
  <c r="AQ69" i="2"/>
  <c r="AQ74" i="2"/>
  <c r="AL69" i="11"/>
  <c r="AL74" i="11"/>
  <c r="AJ69" i="11"/>
  <c r="AJ74" i="11"/>
  <c r="AV69" i="11"/>
  <c r="AV74" i="11"/>
  <c r="AR69" i="11"/>
  <c r="AR74" i="11"/>
  <c r="AO69" i="11"/>
  <c r="AO74" i="11"/>
  <c r="AM69" i="11"/>
  <c r="AM74" i="11"/>
  <c r="AP69" i="11"/>
  <c r="AP74" i="11"/>
  <c r="AT69" i="11"/>
  <c r="AT74" i="11"/>
  <c r="AN69" i="11"/>
  <c r="AN74" i="11"/>
  <c r="AU69" i="11"/>
  <c r="AU74" i="11"/>
  <c r="AO69" i="2"/>
  <c r="AO74" i="2"/>
  <c r="AN69" i="2"/>
  <c r="AN74" i="2"/>
  <c r="AR69" i="2"/>
  <c r="AR74" i="2"/>
  <c r="AL69" i="2"/>
  <c r="AL74" i="2"/>
  <c r="AK69" i="2"/>
  <c r="AK74" i="2"/>
  <c r="AV69" i="2"/>
  <c r="AV74" i="2"/>
  <c r="AP69" i="2"/>
  <c r="AP74" i="2"/>
  <c r="AS69" i="2"/>
  <c r="AS74" i="2"/>
  <c r="AJ69" i="2"/>
  <c r="AM69" i="2"/>
  <c r="AM74" i="2"/>
  <c r="AW78" i="2"/>
  <c r="O15" i="11"/>
  <c r="O22" i="11"/>
  <c r="N15" i="11"/>
  <c r="N22" i="11"/>
  <c r="F33" i="3"/>
  <c r="AW90" i="2"/>
  <c r="N24" i="11"/>
  <c r="N30" i="11"/>
  <c r="I160" i="7"/>
  <c r="F172" i="7"/>
  <c r="F173" i="7"/>
  <c r="O15" i="2"/>
  <c r="O22" i="2"/>
  <c r="P24" i="2"/>
  <c r="P30" i="2"/>
  <c r="K24" i="2"/>
  <c r="K30" i="2"/>
  <c r="L24" i="2"/>
  <c r="L30" i="2"/>
  <c r="M15" i="2"/>
  <c r="M22" i="2"/>
  <c r="M24" i="2"/>
  <c r="M30" i="2"/>
  <c r="J22" i="2"/>
  <c r="J30" i="2"/>
  <c r="K15" i="2"/>
  <c r="K22" i="2"/>
  <c r="P15" i="2"/>
  <c r="P22" i="2"/>
  <c r="N24" i="2"/>
  <c r="N30" i="2"/>
  <c r="N15" i="2"/>
  <c r="N22" i="2"/>
  <c r="AG24" i="2"/>
  <c r="AG91" i="2"/>
  <c r="AG82" i="2"/>
  <c r="AG81" i="2"/>
  <c r="Q12" i="2"/>
  <c r="Q11" i="2"/>
  <c r="AW22" i="2"/>
  <c r="AG74" i="2"/>
  <c r="M24" i="11"/>
  <c r="M30" i="11"/>
  <c r="AW15" i="2"/>
  <c r="AC11" i="11"/>
  <c r="AW12" i="2"/>
  <c r="AS11" i="11"/>
  <c r="AG95" i="2"/>
  <c r="AG12" i="2"/>
  <c r="AS11" i="2"/>
  <c r="Q95" i="2"/>
  <c r="AE28" i="11"/>
  <c r="AE30" i="11"/>
  <c r="AF28" i="11"/>
  <c r="AL102" i="11"/>
  <c r="Z28" i="11"/>
  <c r="Z30" i="11"/>
  <c r="AC28" i="11"/>
  <c r="AC30" i="11"/>
  <c r="T28" i="11"/>
  <c r="T30" i="11"/>
  <c r="AB28" i="11"/>
  <c r="AB30" i="11"/>
  <c r="V28" i="11"/>
  <c r="V30" i="11"/>
  <c r="AD28" i="11"/>
  <c r="AD30" i="11"/>
  <c r="U28" i="11"/>
  <c r="U30" i="11"/>
  <c r="AA28" i="11"/>
  <c r="AA30" i="11"/>
  <c r="Y28" i="11"/>
  <c r="Y30" i="11"/>
  <c r="W28" i="11"/>
  <c r="W30" i="11"/>
  <c r="X28" i="11"/>
  <c r="X30" i="11"/>
  <c r="S30" i="11"/>
  <c r="S79" i="2"/>
  <c r="S79" i="11"/>
  <c r="AN82" i="11"/>
  <c r="AR82" i="11"/>
  <c r="AL82" i="11"/>
  <c r="AO82" i="11"/>
  <c r="AP82" i="11"/>
  <c r="AM82" i="11"/>
  <c r="AU82" i="11"/>
  <c r="AT82" i="11"/>
  <c r="AJ82" i="11"/>
  <c r="AK82" i="11"/>
  <c r="AS82" i="11"/>
  <c r="AQ82" i="11"/>
  <c r="AV82" i="11"/>
  <c r="I158" i="7"/>
  <c r="AI13" i="2"/>
  <c r="C93" i="3"/>
  <c r="C33" i="3"/>
  <c r="C85" i="3"/>
  <c r="AI28" i="11"/>
  <c r="AI28" i="2"/>
  <c r="E26" i="3"/>
  <c r="Q74" i="2"/>
  <c r="AP10" i="11"/>
  <c r="AP13" i="11"/>
  <c r="AN10" i="11"/>
  <c r="AN13" i="11"/>
  <c r="AO10" i="11"/>
  <c r="AO13" i="11"/>
  <c r="S13" i="11"/>
  <c r="AJ10" i="11"/>
  <c r="AJ13" i="11"/>
  <c r="AM10" i="11"/>
  <c r="AM13" i="11"/>
  <c r="AL10" i="11"/>
  <c r="AL13" i="11"/>
  <c r="AK10" i="11"/>
  <c r="AK13" i="11"/>
  <c r="AQ10" i="11"/>
  <c r="AQ13" i="11"/>
  <c r="M15" i="11"/>
  <c r="M22" i="11"/>
  <c r="AI13" i="11"/>
  <c r="AI84" i="2"/>
  <c r="AI84" i="11"/>
  <c r="J30" i="11"/>
  <c r="O24" i="11"/>
  <c r="O30" i="11"/>
  <c r="L24" i="11"/>
  <c r="L30" i="11"/>
  <c r="F10" i="11"/>
  <c r="F13" i="11"/>
  <c r="F37" i="11"/>
  <c r="C13" i="11"/>
  <c r="C37" i="11"/>
  <c r="D10" i="11"/>
  <c r="D13" i="11"/>
  <c r="D37" i="11"/>
  <c r="E10" i="11"/>
  <c r="E13" i="11"/>
  <c r="E37" i="11"/>
  <c r="Z10" i="11"/>
  <c r="Z13" i="11"/>
  <c r="Y10" i="11"/>
  <c r="Y13" i="11"/>
  <c r="G10" i="11"/>
  <c r="G13" i="11"/>
  <c r="G37" i="11"/>
  <c r="AA10" i="11"/>
  <c r="AA13" i="11"/>
  <c r="U10" i="11"/>
  <c r="U13" i="11"/>
  <c r="H10" i="11"/>
  <c r="H13" i="11"/>
  <c r="H37" i="11"/>
  <c r="V10" i="11"/>
  <c r="V13" i="11"/>
  <c r="X10" i="11"/>
  <c r="X13" i="11"/>
  <c r="T10" i="11"/>
  <c r="T13" i="11"/>
  <c r="I10" i="11"/>
  <c r="I13" i="11"/>
  <c r="I37" i="11"/>
  <c r="W10" i="11"/>
  <c r="W13" i="11"/>
  <c r="AF84" i="2"/>
  <c r="T84" i="2"/>
  <c r="AA84" i="2"/>
  <c r="Y84" i="2"/>
  <c r="U84" i="2"/>
  <c r="AD84" i="2"/>
  <c r="AB84" i="2"/>
  <c r="AC84" i="2"/>
  <c r="Z84" i="2"/>
  <c r="X84" i="2"/>
  <c r="V84" i="2"/>
  <c r="W84" i="2"/>
  <c r="AE84" i="2"/>
  <c r="AT81" i="11"/>
  <c r="AN81" i="11"/>
  <c r="AK81" i="11"/>
  <c r="AV81" i="11"/>
  <c r="AO81" i="11"/>
  <c r="AS81" i="11"/>
  <c r="AU81" i="11"/>
  <c r="AR81" i="11"/>
  <c r="AP81" i="11"/>
  <c r="AQ81" i="11"/>
  <c r="AM81" i="11"/>
  <c r="AL81" i="11"/>
  <c r="AJ81" i="11"/>
  <c r="Q73" i="2"/>
  <c r="S80" i="2"/>
  <c r="S80" i="11"/>
  <c r="K24" i="11"/>
  <c r="K30" i="11"/>
  <c r="AJ91" i="2"/>
  <c r="AL91" i="2"/>
  <c r="AU91" i="2"/>
  <c r="AR91" i="2"/>
  <c r="AS91" i="2"/>
  <c r="AQ91" i="2"/>
  <c r="AV91" i="2"/>
  <c r="AK91" i="2"/>
  <c r="AM91" i="2"/>
  <c r="AP91" i="2"/>
  <c r="AO91" i="2"/>
  <c r="AT91" i="2"/>
  <c r="AN91" i="2"/>
  <c r="I161" i="7"/>
  <c r="AK10" i="2"/>
  <c r="AK13" i="2"/>
  <c r="AL10" i="2"/>
  <c r="AL13" i="2"/>
  <c r="AM10" i="2"/>
  <c r="AM13" i="2"/>
  <c r="AP10" i="2"/>
  <c r="AP13" i="2"/>
  <c r="AQ10" i="2"/>
  <c r="AQ13" i="2"/>
  <c r="AN10" i="2"/>
  <c r="AN13" i="2"/>
  <c r="S13" i="2"/>
  <c r="AJ10" i="2"/>
  <c r="AJ13" i="2"/>
  <c r="AO10" i="2"/>
  <c r="AO13" i="2"/>
  <c r="J22" i="11"/>
  <c r="L15" i="11"/>
  <c r="L22" i="11"/>
  <c r="K15" i="11"/>
  <c r="K22" i="11"/>
  <c r="AG15" i="2"/>
  <c r="AW24" i="2"/>
  <c r="AW11" i="2"/>
  <c r="U28" i="2"/>
  <c r="U30" i="2"/>
  <c r="Y28" i="2"/>
  <c r="Y30" i="2"/>
  <c r="AE28" i="2"/>
  <c r="AE30" i="2"/>
  <c r="Z28" i="2"/>
  <c r="Z30" i="2"/>
  <c r="AC28" i="2"/>
  <c r="AC30" i="2"/>
  <c r="AA28" i="2"/>
  <c r="AA30" i="2"/>
  <c r="W28" i="2"/>
  <c r="W30" i="2"/>
  <c r="AB28" i="2"/>
  <c r="AB30" i="2"/>
  <c r="T28" i="2"/>
  <c r="T30" i="2"/>
  <c r="X28" i="2"/>
  <c r="X30" i="2"/>
  <c r="AD28" i="2"/>
  <c r="AD30" i="2"/>
  <c r="V28" i="2"/>
  <c r="V30" i="2"/>
  <c r="AF28" i="2"/>
  <c r="AL102" i="2"/>
  <c r="S30" i="2"/>
  <c r="AG73" i="2"/>
  <c r="AW73" i="2"/>
  <c r="J153" i="7"/>
  <c r="G24" i="3"/>
  <c r="G26" i="3"/>
  <c r="AN91" i="11"/>
  <c r="AQ91" i="11"/>
  <c r="AS91" i="11"/>
  <c r="AM91" i="11"/>
  <c r="AP91" i="11"/>
  <c r="AL91" i="11"/>
  <c r="AR91" i="11"/>
  <c r="AT91" i="11"/>
  <c r="AV91" i="11"/>
  <c r="AK91" i="11"/>
  <c r="AO91" i="11"/>
  <c r="AU91" i="11"/>
  <c r="AJ91" i="11"/>
  <c r="T10" i="2"/>
  <c r="T13" i="2"/>
  <c r="W10" i="2"/>
  <c r="W13" i="2"/>
  <c r="H10" i="2"/>
  <c r="H13" i="2"/>
  <c r="H37" i="2"/>
  <c r="I10" i="2"/>
  <c r="I13" i="2"/>
  <c r="I37" i="2"/>
  <c r="U10" i="2"/>
  <c r="U13" i="2"/>
  <c r="G10" i="2"/>
  <c r="G13" i="2"/>
  <c r="G37" i="2"/>
  <c r="X10" i="2"/>
  <c r="X13" i="2"/>
  <c r="V10" i="2"/>
  <c r="V13" i="2"/>
  <c r="AA10" i="2"/>
  <c r="AA13" i="2"/>
  <c r="C13" i="2"/>
  <c r="F10" i="2"/>
  <c r="F13" i="2"/>
  <c r="F37" i="2"/>
  <c r="Z10" i="2"/>
  <c r="Z13" i="2"/>
  <c r="D10" i="2"/>
  <c r="D13" i="2"/>
  <c r="D37" i="2"/>
  <c r="Y10" i="2"/>
  <c r="Y13" i="2"/>
  <c r="E10" i="2"/>
  <c r="E13" i="2"/>
  <c r="E37" i="2"/>
  <c r="AB84" i="11"/>
  <c r="AA84" i="11"/>
  <c r="T84" i="11"/>
  <c r="Z84" i="11"/>
  <c r="AF84" i="11"/>
  <c r="AD84" i="11"/>
  <c r="Y84" i="11"/>
  <c r="AC84" i="11"/>
  <c r="V84" i="11"/>
  <c r="X84" i="11"/>
  <c r="U84" i="11"/>
  <c r="W84" i="11"/>
  <c r="AE84" i="11"/>
  <c r="AN81" i="2"/>
  <c r="AR81" i="2"/>
  <c r="AL81" i="2"/>
  <c r="AP81" i="2"/>
  <c r="AM81" i="2"/>
  <c r="AU81" i="2"/>
  <c r="AJ81" i="2"/>
  <c r="AT81" i="2"/>
  <c r="AK81" i="2"/>
  <c r="AO81" i="2"/>
  <c r="AV81" i="2"/>
  <c r="AS81" i="2"/>
  <c r="AQ81" i="2"/>
  <c r="S96" i="11"/>
  <c r="S96" i="2"/>
  <c r="AG22" i="2"/>
  <c r="D33" i="3"/>
  <c r="AW95" i="2"/>
  <c r="I159" i="7"/>
  <c r="AJ82" i="2"/>
  <c r="AO82" i="2"/>
  <c r="AS82" i="2"/>
  <c r="AP82" i="2"/>
  <c r="AU82" i="2"/>
  <c r="AR82" i="2"/>
  <c r="AK82" i="2"/>
  <c r="AT82" i="2"/>
  <c r="AM82" i="2"/>
  <c r="AL82" i="2"/>
  <c r="AN82" i="2"/>
  <c r="AQ82" i="2"/>
  <c r="AV82" i="2"/>
  <c r="AW69" i="2"/>
  <c r="AJ74" i="2"/>
  <c r="AW74" i="2"/>
  <c r="J160" i="7"/>
  <c r="AG84" i="2"/>
  <c r="E33" i="3"/>
  <c r="AI89" i="11"/>
  <c r="G33" i="3"/>
  <c r="T37" i="2"/>
  <c r="Y37" i="2"/>
  <c r="Q15" i="2"/>
  <c r="Q24" i="2"/>
  <c r="AW82" i="2"/>
  <c r="AW81" i="2"/>
  <c r="AW91" i="2"/>
  <c r="Q22" i="2"/>
  <c r="Q30" i="2"/>
  <c r="X37" i="11"/>
  <c r="V37" i="11"/>
  <c r="Y37" i="11"/>
  <c r="Z37" i="11"/>
  <c r="W37" i="11"/>
  <c r="D98" i="3"/>
  <c r="AA37" i="11"/>
  <c r="AV10" i="11"/>
  <c r="AV13" i="11"/>
  <c r="AF30" i="11"/>
  <c r="U37" i="2"/>
  <c r="AB10" i="2"/>
  <c r="AM84" i="2"/>
  <c r="AL84" i="2"/>
  <c r="AT84" i="2"/>
  <c r="AU84" i="2"/>
  <c r="AN84" i="2"/>
  <c r="AS84" i="2"/>
  <c r="AV84" i="2"/>
  <c r="AK84" i="2"/>
  <c r="AJ84" i="2"/>
  <c r="AP84" i="2"/>
  <c r="AO84" i="2"/>
  <c r="AQ84" i="2"/>
  <c r="AR84" i="2"/>
  <c r="AD10" i="11"/>
  <c r="AD13" i="11"/>
  <c r="AD37" i="11"/>
  <c r="AT10" i="2"/>
  <c r="AT13" i="2"/>
  <c r="AI80" i="2"/>
  <c r="AI80" i="11"/>
  <c r="AA96" i="2"/>
  <c r="AE96" i="2"/>
  <c r="U96" i="2"/>
  <c r="T96" i="2"/>
  <c r="AD96" i="2"/>
  <c r="AB96" i="2"/>
  <c r="Z96" i="2"/>
  <c r="AC96" i="2"/>
  <c r="AF96" i="2"/>
  <c r="Y96" i="2"/>
  <c r="W96" i="2"/>
  <c r="V96" i="2"/>
  <c r="X96" i="2"/>
  <c r="Z37" i="2"/>
  <c r="AI97" i="2"/>
  <c r="AI97" i="11"/>
  <c r="V80" i="2"/>
  <c r="Z80" i="2"/>
  <c r="U80" i="2"/>
  <c r="Y80" i="2"/>
  <c r="X80" i="2"/>
  <c r="AB80" i="2"/>
  <c r="AF80" i="2"/>
  <c r="AE80" i="2"/>
  <c r="AD80" i="2"/>
  <c r="W80" i="2"/>
  <c r="T80" i="2"/>
  <c r="AA80" i="2"/>
  <c r="AC80" i="2"/>
  <c r="AT10" i="11"/>
  <c r="AT13" i="11"/>
  <c r="AB10" i="11"/>
  <c r="AB13" i="11"/>
  <c r="AB37" i="11"/>
  <c r="AI79" i="2"/>
  <c r="AI79" i="11"/>
  <c r="Z79" i="11"/>
  <c r="AD79" i="11"/>
  <c r="AB79" i="11"/>
  <c r="X79" i="11"/>
  <c r="AC79" i="11"/>
  <c r="AE79" i="11"/>
  <c r="Y79" i="11"/>
  <c r="AF79" i="11"/>
  <c r="W79" i="11"/>
  <c r="AA79" i="11"/>
  <c r="T79" i="11"/>
  <c r="U79" i="11"/>
  <c r="V79" i="11"/>
  <c r="J159" i="7"/>
  <c r="AD96" i="11"/>
  <c r="AC96" i="11"/>
  <c r="Z96" i="11"/>
  <c r="W96" i="11"/>
  <c r="AF96" i="11"/>
  <c r="AE96" i="11"/>
  <c r="Y96" i="11"/>
  <c r="AA96" i="11"/>
  <c r="V96" i="11"/>
  <c r="AB96" i="11"/>
  <c r="U96" i="11"/>
  <c r="T96" i="11"/>
  <c r="X96" i="11"/>
  <c r="S37" i="2"/>
  <c r="W37" i="2"/>
  <c r="AD10" i="2"/>
  <c r="AD13" i="2"/>
  <c r="AD37" i="2"/>
  <c r="AI96" i="2"/>
  <c r="AI96" i="11"/>
  <c r="AU10" i="11"/>
  <c r="AU13" i="11"/>
  <c r="AC10" i="11"/>
  <c r="AC13" i="11"/>
  <c r="AC37" i="11"/>
  <c r="AE10" i="11"/>
  <c r="AE13" i="11"/>
  <c r="AE37" i="11"/>
  <c r="C89" i="2"/>
  <c r="C89" i="11"/>
  <c r="C95" i="3"/>
  <c r="C96" i="3"/>
  <c r="C98" i="3"/>
  <c r="C101" i="3"/>
  <c r="AS10" i="2"/>
  <c r="AS13" i="2"/>
  <c r="J158" i="7"/>
  <c r="AE79" i="2"/>
  <c r="T79" i="2"/>
  <c r="AC79" i="2"/>
  <c r="W79" i="2"/>
  <c r="AD79" i="2"/>
  <c r="U79" i="2"/>
  <c r="AF79" i="2"/>
  <c r="Y79" i="2"/>
  <c r="V79" i="2"/>
  <c r="AB79" i="2"/>
  <c r="AA79" i="2"/>
  <c r="Z79" i="2"/>
  <c r="X79" i="2"/>
  <c r="V80" i="11"/>
  <c r="T80" i="11"/>
  <c r="AF80" i="11"/>
  <c r="AE80" i="11"/>
  <c r="Z80" i="11"/>
  <c r="U80" i="11"/>
  <c r="Y80" i="11"/>
  <c r="AA80" i="11"/>
  <c r="AD80" i="11"/>
  <c r="AC80" i="11"/>
  <c r="AB80" i="11"/>
  <c r="X80" i="11"/>
  <c r="W80" i="11"/>
  <c r="AK28" i="2"/>
  <c r="AK30" i="2"/>
  <c r="AK37" i="2"/>
  <c r="AJ28" i="2"/>
  <c r="AJ30" i="2"/>
  <c r="AJ37" i="2"/>
  <c r="AR28" i="2"/>
  <c r="AR30" i="2"/>
  <c r="AN28" i="2"/>
  <c r="AN30" i="2"/>
  <c r="AN37" i="2"/>
  <c r="AM28" i="2"/>
  <c r="AM30" i="2"/>
  <c r="AM37" i="2"/>
  <c r="AV28" i="2"/>
  <c r="AV30" i="2"/>
  <c r="AU28" i="2"/>
  <c r="AU30" i="2"/>
  <c r="AQ28" i="2"/>
  <c r="AQ30" i="2"/>
  <c r="AQ37" i="2"/>
  <c r="AL28" i="2"/>
  <c r="AL30" i="2"/>
  <c r="AL37" i="2"/>
  <c r="AO28" i="2"/>
  <c r="AO30" i="2"/>
  <c r="AO37" i="2"/>
  <c r="AS28" i="2"/>
  <c r="AS30" i="2"/>
  <c r="AT28" i="2"/>
  <c r="AT30" i="2"/>
  <c r="AT37" i="2"/>
  <c r="AP28" i="2"/>
  <c r="AP30" i="2"/>
  <c r="AP37" i="2"/>
  <c r="AI30" i="2"/>
  <c r="C97" i="2"/>
  <c r="C97" i="11"/>
  <c r="S97" i="2"/>
  <c r="S97" i="11"/>
  <c r="J10" i="2"/>
  <c r="M10" i="2"/>
  <c r="M13" i="2"/>
  <c r="M37" i="2"/>
  <c r="V37" i="2"/>
  <c r="AF10" i="2"/>
  <c r="J161" i="7"/>
  <c r="AR10" i="11"/>
  <c r="AR13" i="11"/>
  <c r="AU28" i="11"/>
  <c r="AU30" i="11"/>
  <c r="AV28" i="11"/>
  <c r="AV30" i="11"/>
  <c r="AQ28" i="11"/>
  <c r="AQ30" i="11"/>
  <c r="AQ37" i="11"/>
  <c r="AM28" i="11"/>
  <c r="AM30" i="11"/>
  <c r="AM37" i="11"/>
  <c r="AJ28" i="11"/>
  <c r="AJ30" i="11"/>
  <c r="AJ37" i="11"/>
  <c r="AO28" i="11"/>
  <c r="AO30" i="11"/>
  <c r="AO37" i="11"/>
  <c r="AR28" i="11"/>
  <c r="AR30" i="11"/>
  <c r="AK28" i="11"/>
  <c r="AK30" i="11"/>
  <c r="AK37" i="11"/>
  <c r="AN28" i="11"/>
  <c r="AN30" i="11"/>
  <c r="AN37" i="11"/>
  <c r="AP28" i="11"/>
  <c r="AP30" i="11"/>
  <c r="AP37" i="11"/>
  <c r="AL28" i="11"/>
  <c r="AL30" i="11"/>
  <c r="AL37" i="11"/>
  <c r="AT28" i="11"/>
  <c r="AT30" i="11"/>
  <c r="AS28" i="11"/>
  <c r="AS30" i="11"/>
  <c r="AI30" i="11"/>
  <c r="AI37" i="11"/>
  <c r="AU10" i="2"/>
  <c r="AU13" i="2"/>
  <c r="S89" i="11"/>
  <c r="S99" i="11"/>
  <c r="S100" i="11"/>
  <c r="S89" i="2"/>
  <c r="S99" i="2"/>
  <c r="C37" i="2"/>
  <c r="AF30" i="2"/>
  <c r="AG30" i="2"/>
  <c r="AG28" i="2"/>
  <c r="X37" i="2"/>
  <c r="AA37" i="2"/>
  <c r="AC10" i="2"/>
  <c r="AE10" i="2"/>
  <c r="AE13" i="2"/>
  <c r="AE37" i="2"/>
  <c r="J10" i="11"/>
  <c r="L10" i="11"/>
  <c r="L13" i="11"/>
  <c r="L37" i="11"/>
  <c r="T37" i="11"/>
  <c r="U37" i="11"/>
  <c r="AL84" i="11"/>
  <c r="AR84" i="11"/>
  <c r="AM84" i="11"/>
  <c r="AV84" i="11"/>
  <c r="AU84" i="11"/>
  <c r="AT84" i="11"/>
  <c r="AJ84" i="11"/>
  <c r="AS84" i="11"/>
  <c r="AP84" i="11"/>
  <c r="AN84" i="11"/>
  <c r="AQ84" i="11"/>
  <c r="AO84" i="11"/>
  <c r="AK84" i="11"/>
  <c r="AS10" i="11"/>
  <c r="AS13" i="11"/>
  <c r="AF10" i="11"/>
  <c r="AV10" i="2"/>
  <c r="AV13" i="2"/>
  <c r="AR10" i="2"/>
  <c r="AR13" i="2"/>
  <c r="S37" i="11"/>
  <c r="AI89" i="2"/>
  <c r="AU89" i="2"/>
  <c r="E98" i="3"/>
  <c r="AG79" i="2"/>
  <c r="F98" i="3"/>
  <c r="AG80" i="2"/>
  <c r="G98" i="3"/>
  <c r="AG96" i="2"/>
  <c r="AW84" i="2"/>
  <c r="AS37" i="2"/>
  <c r="AV37" i="11"/>
  <c r="AW28" i="2"/>
  <c r="P10" i="2"/>
  <c r="T102" i="2"/>
  <c r="AU37" i="2"/>
  <c r="AU37" i="11"/>
  <c r="AW13" i="2"/>
  <c r="AS37" i="11"/>
  <c r="AS80" i="2"/>
  <c r="AR80" i="2"/>
  <c r="AN80" i="2"/>
  <c r="AJ80" i="2"/>
  <c r="AM80" i="2"/>
  <c r="AK80" i="2"/>
  <c r="AV80" i="2"/>
  <c r="AL80" i="2"/>
  <c r="AU80" i="2"/>
  <c r="AP80" i="2"/>
  <c r="AT80" i="2"/>
  <c r="AO80" i="2"/>
  <c r="AQ80" i="2"/>
  <c r="AT37" i="11"/>
  <c r="AQ97" i="2"/>
  <c r="AK97" i="2"/>
  <c r="AP97" i="2"/>
  <c r="AJ97" i="2"/>
  <c r="AL97" i="2"/>
  <c r="AO97" i="2"/>
  <c r="AM97" i="2"/>
  <c r="AN97" i="2"/>
  <c r="AI37" i="2"/>
  <c r="AW30" i="2"/>
  <c r="S100" i="2"/>
  <c r="G89" i="11"/>
  <c r="N89" i="11"/>
  <c r="J89" i="11"/>
  <c r="P89" i="11"/>
  <c r="H89" i="11"/>
  <c r="F89" i="11"/>
  <c r="K89" i="11"/>
  <c r="M89" i="11"/>
  <c r="I89" i="11"/>
  <c r="E89" i="11"/>
  <c r="L89" i="11"/>
  <c r="D89" i="11"/>
  <c r="O89" i="11"/>
  <c r="C99" i="11"/>
  <c r="C100" i="11"/>
  <c r="AS89" i="11"/>
  <c r="AM89" i="11"/>
  <c r="AT89" i="11"/>
  <c r="AO89" i="11"/>
  <c r="AU89" i="11"/>
  <c r="AK89" i="11"/>
  <c r="AJ89" i="11"/>
  <c r="AN89" i="11"/>
  <c r="AV89" i="11"/>
  <c r="AL89" i="11"/>
  <c r="AP89" i="11"/>
  <c r="AR89" i="11"/>
  <c r="AQ89" i="11"/>
  <c r="AG10" i="2"/>
  <c r="P10" i="11"/>
  <c r="AR37" i="11"/>
  <c r="L10" i="2"/>
  <c r="L13" i="2"/>
  <c r="L37" i="2"/>
  <c r="J13" i="2"/>
  <c r="N10" i="2"/>
  <c r="N13" i="2"/>
  <c r="N37" i="2"/>
  <c r="K10" i="2"/>
  <c r="AV37" i="2"/>
  <c r="M89" i="2"/>
  <c r="E89" i="2"/>
  <c r="H89" i="2"/>
  <c r="J89" i="2"/>
  <c r="L89" i="2"/>
  <c r="N89" i="2"/>
  <c r="I89" i="2"/>
  <c r="P89" i="2"/>
  <c r="C99" i="2"/>
  <c r="D89" i="2"/>
  <c r="K89" i="2"/>
  <c r="O89" i="2"/>
  <c r="F89" i="2"/>
  <c r="G89" i="2"/>
  <c r="AR96" i="11"/>
  <c r="AL96" i="11"/>
  <c r="AQ96" i="11"/>
  <c r="AS96" i="11"/>
  <c r="AO96" i="11"/>
  <c r="AU96" i="11"/>
  <c r="AJ96" i="11"/>
  <c r="AP96" i="11"/>
  <c r="AK96" i="11"/>
  <c r="AM96" i="11"/>
  <c r="AT96" i="11"/>
  <c r="AV96" i="11"/>
  <c r="AN96" i="11"/>
  <c r="O10" i="2"/>
  <c r="O13" i="2"/>
  <c r="O37" i="2"/>
  <c r="AP79" i="2"/>
  <c r="AO79" i="2"/>
  <c r="AN79" i="2"/>
  <c r="AV79" i="2"/>
  <c r="AL79" i="2"/>
  <c r="AJ79" i="2"/>
  <c r="AS79" i="2"/>
  <c r="AR79" i="2"/>
  <c r="AT79" i="2"/>
  <c r="AM79" i="2"/>
  <c r="AU79" i="2"/>
  <c r="AQ79" i="2"/>
  <c r="AK79" i="2"/>
  <c r="AW79" i="2"/>
  <c r="AI99" i="2"/>
  <c r="J13" i="11"/>
  <c r="J37" i="11"/>
  <c r="M10" i="11"/>
  <c r="M13" i="11"/>
  <c r="M37" i="11"/>
  <c r="O10" i="11"/>
  <c r="O13" i="11"/>
  <c r="O37" i="11"/>
  <c r="W89" i="2"/>
  <c r="W97" i="2"/>
  <c r="W99" i="2"/>
  <c r="W100" i="2"/>
  <c r="X89" i="2"/>
  <c r="Y89" i="2"/>
  <c r="Y97" i="2"/>
  <c r="Y99" i="2"/>
  <c r="Y100" i="2"/>
  <c r="Z89" i="2"/>
  <c r="Z97" i="2"/>
  <c r="Z99" i="2"/>
  <c r="Z100" i="2"/>
  <c r="AF89" i="2"/>
  <c r="AD89" i="2"/>
  <c r="T89" i="2"/>
  <c r="T97" i="2"/>
  <c r="T99" i="2"/>
  <c r="V89" i="2"/>
  <c r="V97" i="2"/>
  <c r="V99" i="2"/>
  <c r="V100" i="2"/>
  <c r="AA89" i="2"/>
  <c r="AA97" i="2"/>
  <c r="AA99" i="2"/>
  <c r="AA100" i="2"/>
  <c r="AB89" i="2"/>
  <c r="AC89" i="2"/>
  <c r="AE89" i="2"/>
  <c r="U89" i="2"/>
  <c r="U97" i="2"/>
  <c r="U99" i="2"/>
  <c r="U100" i="2"/>
  <c r="AF13" i="2"/>
  <c r="AJ102" i="2"/>
  <c r="AP97" i="11"/>
  <c r="AO97" i="11"/>
  <c r="AN97" i="11"/>
  <c r="AM97" i="11"/>
  <c r="AK97" i="11"/>
  <c r="AQ97" i="11"/>
  <c r="AL97" i="11"/>
  <c r="AJ97" i="11"/>
  <c r="I97" i="2"/>
  <c r="K97" i="2"/>
  <c r="E97" i="2"/>
  <c r="J97" i="2"/>
  <c r="D97" i="2"/>
  <c r="G97" i="2"/>
  <c r="X97" i="2"/>
  <c r="H97" i="2"/>
  <c r="F97" i="2"/>
  <c r="C102" i="3"/>
  <c r="D101" i="3"/>
  <c r="AV89" i="2"/>
  <c r="AL89" i="2"/>
  <c r="AJ89" i="2"/>
  <c r="AP89" i="2"/>
  <c r="AM89" i="2"/>
  <c r="AN89" i="2"/>
  <c r="AT89" i="2"/>
  <c r="AR89" i="2"/>
  <c r="AQ89" i="2"/>
  <c r="AI99" i="11"/>
  <c r="AI100" i="11"/>
  <c r="K10" i="11"/>
  <c r="K13" i="11"/>
  <c r="K37" i="11"/>
  <c r="AB89" i="11"/>
  <c r="AC89" i="11"/>
  <c r="Y89" i="11"/>
  <c r="Y97" i="11"/>
  <c r="Y99" i="11"/>
  <c r="Y100" i="11"/>
  <c r="AE89" i="11"/>
  <c r="T97" i="11"/>
  <c r="U97" i="11"/>
  <c r="V97" i="11"/>
  <c r="W97" i="11"/>
  <c r="X97" i="11"/>
  <c r="Z97" i="11"/>
  <c r="AA97" i="11"/>
  <c r="AE97" i="11"/>
  <c r="AE99" i="11"/>
  <c r="AE100" i="11"/>
  <c r="X89" i="11"/>
  <c r="X99" i="11"/>
  <c r="X100" i="11"/>
  <c r="U89" i="11"/>
  <c r="U99" i="11"/>
  <c r="U100" i="11"/>
  <c r="W89" i="11"/>
  <c r="W99" i="11"/>
  <c r="W100" i="11"/>
  <c r="V89" i="11"/>
  <c r="V99" i="11"/>
  <c r="V100" i="11"/>
  <c r="Z89" i="11"/>
  <c r="Z99" i="11"/>
  <c r="Z100" i="11"/>
  <c r="T89" i="11"/>
  <c r="T99" i="11"/>
  <c r="T100" i="11"/>
  <c r="AD89" i="11"/>
  <c r="AA89" i="11"/>
  <c r="AA99" i="11"/>
  <c r="AA100" i="11"/>
  <c r="AF89" i="11"/>
  <c r="AF97" i="11"/>
  <c r="AF99" i="11"/>
  <c r="AF100" i="11"/>
  <c r="AJ103" i="11"/>
  <c r="AR37" i="2"/>
  <c r="AT79" i="11"/>
  <c r="AR79" i="11"/>
  <c r="AQ79" i="11"/>
  <c r="AK79" i="11"/>
  <c r="AV79" i="11"/>
  <c r="AM79" i="11"/>
  <c r="AO79" i="11"/>
  <c r="AN79" i="11"/>
  <c r="AU79" i="11"/>
  <c r="AS79" i="11"/>
  <c r="AP79" i="11"/>
  <c r="AL79" i="11"/>
  <c r="AJ79" i="11"/>
  <c r="AF13" i="11"/>
  <c r="AF37" i="11"/>
  <c r="AJ102" i="11"/>
  <c r="AF37" i="2"/>
  <c r="D97" i="11"/>
  <c r="H97" i="11"/>
  <c r="I97" i="11"/>
  <c r="J97" i="11"/>
  <c r="E97" i="11"/>
  <c r="F97" i="11"/>
  <c r="K97" i="11"/>
  <c r="G97" i="11"/>
  <c r="AW10" i="2"/>
  <c r="N10" i="11"/>
  <c r="N13" i="11"/>
  <c r="N37" i="11"/>
  <c r="AM96" i="2"/>
  <c r="AV96" i="2"/>
  <c r="AL96" i="2"/>
  <c r="AU96" i="2"/>
  <c r="AQ96" i="2"/>
  <c r="AT96" i="2"/>
  <c r="AP96" i="2"/>
  <c r="AR96" i="2"/>
  <c r="AJ96" i="2"/>
  <c r="AN96" i="2"/>
  <c r="AS96" i="2"/>
  <c r="AO96" i="2"/>
  <c r="AK96" i="2"/>
  <c r="AS80" i="11"/>
  <c r="AM80" i="11"/>
  <c r="AQ80" i="11"/>
  <c r="AV80" i="11"/>
  <c r="AL80" i="11"/>
  <c r="AK80" i="11"/>
  <c r="AP80" i="11"/>
  <c r="AU80" i="11"/>
  <c r="AT80" i="11"/>
  <c r="AO80" i="11"/>
  <c r="AJ80" i="11"/>
  <c r="AN80" i="11"/>
  <c r="AR80" i="11"/>
  <c r="AS89" i="2"/>
  <c r="AO89" i="2"/>
  <c r="AK89" i="2"/>
  <c r="P13" i="2"/>
  <c r="P37" i="2"/>
  <c r="AG102" i="2"/>
  <c r="AM99" i="2"/>
  <c r="AM100" i="2"/>
  <c r="T100" i="2"/>
  <c r="AT97" i="2"/>
  <c r="AT99" i="2"/>
  <c r="AT100" i="2"/>
  <c r="AP99" i="2"/>
  <c r="AP100" i="2"/>
  <c r="X99" i="2"/>
  <c r="X100" i="2"/>
  <c r="AR97" i="2"/>
  <c r="AR99" i="2"/>
  <c r="AR100" i="2"/>
  <c r="AV97" i="2"/>
  <c r="AV99" i="2"/>
  <c r="AV100" i="2"/>
  <c r="AW96" i="2"/>
  <c r="AU97" i="2"/>
  <c r="AU99" i="2"/>
  <c r="AU100" i="2"/>
  <c r="AS97" i="2"/>
  <c r="AS99" i="2"/>
  <c r="AS100" i="2"/>
  <c r="AJ99" i="2"/>
  <c r="AJ100" i="2"/>
  <c r="AW80" i="2"/>
  <c r="AO99" i="2"/>
  <c r="AO100" i="2"/>
  <c r="AK99" i="2"/>
  <c r="AK100" i="2"/>
  <c r="AL99" i="2"/>
  <c r="AL100" i="2"/>
  <c r="AK99" i="11"/>
  <c r="AK100" i="11"/>
  <c r="AC97" i="2"/>
  <c r="AC99" i="2"/>
  <c r="AC100" i="2"/>
  <c r="AT97" i="11"/>
  <c r="AT99" i="11"/>
  <c r="AT100" i="11"/>
  <c r="AG89" i="2"/>
  <c r="P97" i="11"/>
  <c r="P99" i="11"/>
  <c r="P100" i="11"/>
  <c r="T103" i="11"/>
  <c r="AW37" i="2"/>
  <c r="AE97" i="2"/>
  <c r="AE99" i="2"/>
  <c r="AE100" i="2"/>
  <c r="P97" i="2"/>
  <c r="P99" i="2"/>
  <c r="P100" i="2"/>
  <c r="T103" i="2"/>
  <c r="AG103" i="2"/>
  <c r="Q89" i="2"/>
  <c r="N97" i="11"/>
  <c r="N99" i="11"/>
  <c r="N100" i="11"/>
  <c r="AB97" i="11"/>
  <c r="AB99" i="11"/>
  <c r="AB100" i="11"/>
  <c r="O97" i="11"/>
  <c r="AB97" i="2"/>
  <c r="AB99" i="2"/>
  <c r="AB100" i="2"/>
  <c r="E99" i="11"/>
  <c r="E100" i="11"/>
  <c r="AW102" i="2"/>
  <c r="M97" i="2"/>
  <c r="M99" i="2"/>
  <c r="M100" i="2"/>
  <c r="AU97" i="11"/>
  <c r="AU99" i="11"/>
  <c r="AU100" i="11"/>
  <c r="I99" i="11"/>
  <c r="I100" i="11"/>
  <c r="H99" i="11"/>
  <c r="H100" i="11"/>
  <c r="G99" i="11"/>
  <c r="G100" i="11"/>
  <c r="F99" i="2"/>
  <c r="F100" i="2"/>
  <c r="AF97" i="2"/>
  <c r="AF99" i="2"/>
  <c r="AF100" i="2"/>
  <c r="AJ103" i="2"/>
  <c r="AW103" i="2"/>
  <c r="L97" i="11"/>
  <c r="L99" i="11"/>
  <c r="L100" i="11"/>
  <c r="J99" i="2"/>
  <c r="J100" i="2"/>
  <c r="P13" i="11"/>
  <c r="P37" i="11"/>
  <c r="T102" i="11"/>
  <c r="O99" i="11"/>
  <c r="O100" i="11"/>
  <c r="M97" i="11"/>
  <c r="M99" i="11"/>
  <c r="M100" i="11"/>
  <c r="AS97" i="11"/>
  <c r="AS99" i="11"/>
  <c r="AS100" i="11"/>
  <c r="AV97" i="11"/>
  <c r="AV99" i="11"/>
  <c r="AV100" i="11"/>
  <c r="AQ99" i="2"/>
  <c r="AQ100" i="2"/>
  <c r="AN99" i="2"/>
  <c r="AN100" i="2"/>
  <c r="E101" i="3"/>
  <c r="D102" i="3"/>
  <c r="AJ99" i="11"/>
  <c r="AJ100" i="11"/>
  <c r="AM99" i="11"/>
  <c r="AM100" i="11"/>
  <c r="K99" i="2"/>
  <c r="K100" i="2"/>
  <c r="I99" i="2"/>
  <c r="I100" i="2"/>
  <c r="H99" i="2"/>
  <c r="H100" i="2"/>
  <c r="K13" i="2"/>
  <c r="K37" i="2"/>
  <c r="Q10" i="2"/>
  <c r="D99" i="11"/>
  <c r="D100" i="11"/>
  <c r="D105" i="11"/>
  <c r="D108" i="11"/>
  <c r="E6" i="11"/>
  <c r="AD97" i="2"/>
  <c r="AD99" i="2"/>
  <c r="AD100" i="2"/>
  <c r="AQ99" i="11"/>
  <c r="AQ100" i="11"/>
  <c r="AO99" i="11"/>
  <c r="AO100" i="11"/>
  <c r="C100" i="2"/>
  <c r="J37" i="2"/>
  <c r="F99" i="11"/>
  <c r="F100" i="11"/>
  <c r="L97" i="2"/>
  <c r="N97" i="2"/>
  <c r="N99" i="2"/>
  <c r="N100" i="2"/>
  <c r="AC97" i="11"/>
  <c r="AC99" i="11"/>
  <c r="AC100" i="11"/>
  <c r="AD97" i="11"/>
  <c r="AD99" i="11"/>
  <c r="AD100" i="11"/>
  <c r="AP99" i="11"/>
  <c r="AP100" i="11"/>
  <c r="AI100" i="2"/>
  <c r="AR97" i="11"/>
  <c r="AR99" i="11"/>
  <c r="AR100" i="11"/>
  <c r="O97" i="2"/>
  <c r="O99" i="2"/>
  <c r="O100" i="2"/>
  <c r="AL99" i="11"/>
  <c r="AL100" i="11"/>
  <c r="AN99" i="11"/>
  <c r="AN100" i="11"/>
  <c r="G99" i="2"/>
  <c r="G100" i="2"/>
  <c r="D99" i="2"/>
  <c r="D100" i="2"/>
  <c r="D105" i="2"/>
  <c r="D108" i="2"/>
  <c r="E6" i="2"/>
  <c r="E99" i="2"/>
  <c r="E100" i="2"/>
  <c r="K99" i="11"/>
  <c r="K100" i="11"/>
  <c r="J99" i="11"/>
  <c r="J100" i="11"/>
  <c r="E105" i="11"/>
  <c r="E108" i="11"/>
  <c r="F6" i="11"/>
  <c r="F105" i="11"/>
  <c r="F108" i="11"/>
  <c r="G6" i="11"/>
  <c r="G105" i="11"/>
  <c r="G108" i="11"/>
  <c r="H6" i="11"/>
  <c r="H105" i="11"/>
  <c r="H108" i="11"/>
  <c r="I6" i="11"/>
  <c r="I105" i="11"/>
  <c r="I108" i="11"/>
  <c r="J6" i="11"/>
  <c r="J105" i="11"/>
  <c r="J108" i="11"/>
  <c r="K6" i="11"/>
  <c r="K105" i="11"/>
  <c r="K108" i="11"/>
  <c r="L6" i="11"/>
  <c r="L105" i="11"/>
  <c r="L108" i="11"/>
  <c r="M6" i="11"/>
  <c r="M105" i="11"/>
  <c r="M108" i="11"/>
  <c r="N6" i="11"/>
  <c r="N105" i="11"/>
  <c r="N108" i="11"/>
  <c r="O6" i="11"/>
  <c r="O105" i="11"/>
  <c r="O108" i="11"/>
  <c r="T6" i="11"/>
  <c r="T105" i="11"/>
  <c r="T108" i="11"/>
  <c r="U6" i="11"/>
  <c r="U105" i="11"/>
  <c r="U108" i="11"/>
  <c r="V6" i="11"/>
  <c r="V105" i="11"/>
  <c r="V108" i="11"/>
  <c r="W6" i="11"/>
  <c r="W105" i="11"/>
  <c r="W108" i="11"/>
  <c r="X6" i="11"/>
  <c r="X105" i="11"/>
  <c r="X108" i="11"/>
  <c r="Y6" i="11"/>
  <c r="Y105" i="11"/>
  <c r="Y108" i="11"/>
  <c r="Z6" i="11"/>
  <c r="Z105" i="11"/>
  <c r="Z108" i="11"/>
  <c r="AA6" i="11"/>
  <c r="AA105" i="11"/>
  <c r="AA108" i="11"/>
  <c r="AB6" i="11"/>
  <c r="AB105" i="11"/>
  <c r="AB108" i="11"/>
  <c r="AC6" i="11"/>
  <c r="AC105" i="11"/>
  <c r="AC108" i="11"/>
  <c r="AD6" i="11"/>
  <c r="AD105" i="11"/>
  <c r="AD108" i="11"/>
  <c r="AE6" i="11"/>
  <c r="AE105" i="11"/>
  <c r="AE108" i="11"/>
  <c r="AJ6" i="11"/>
  <c r="AJ105" i="11"/>
  <c r="AJ108" i="11"/>
  <c r="AK6" i="11"/>
  <c r="AK105" i="11"/>
  <c r="AK108" i="11"/>
  <c r="AL6" i="11"/>
  <c r="AL105" i="11"/>
  <c r="AL108" i="11"/>
  <c r="AM6" i="11"/>
  <c r="AM105" i="11"/>
  <c r="AM108" i="11"/>
  <c r="AN6" i="11"/>
  <c r="AN105" i="11"/>
  <c r="AN108" i="11"/>
  <c r="AO6" i="11"/>
  <c r="AO105" i="11"/>
  <c r="AO108" i="11"/>
  <c r="AP6" i="11"/>
  <c r="AP105" i="11"/>
  <c r="AP108" i="11"/>
  <c r="AQ6" i="11"/>
  <c r="AQ105" i="11"/>
  <c r="AQ108" i="11"/>
  <c r="AR6" i="11"/>
  <c r="AR105" i="11"/>
  <c r="AR108" i="11"/>
  <c r="AS6" i="11"/>
  <c r="AS105" i="11"/>
  <c r="AS108" i="11"/>
  <c r="AT6" i="11"/>
  <c r="AT105" i="11"/>
  <c r="AT108" i="11"/>
  <c r="AU6" i="11"/>
  <c r="AU105" i="11"/>
  <c r="AU108" i="11"/>
  <c r="AW89" i="2"/>
  <c r="AW99" i="2"/>
  <c r="AW100" i="2"/>
  <c r="AG100" i="2"/>
  <c r="AG99" i="2"/>
  <c r="AW97" i="2"/>
  <c r="Q37" i="2"/>
  <c r="E105" i="2"/>
  <c r="E108" i="2"/>
  <c r="F6" i="2"/>
  <c r="F105" i="2"/>
  <c r="F108" i="2"/>
  <c r="G6" i="2"/>
  <c r="G105" i="2"/>
  <c r="G108" i="2"/>
  <c r="H6" i="2"/>
  <c r="H105" i="2"/>
  <c r="H108" i="2"/>
  <c r="I6" i="2"/>
  <c r="I105" i="2"/>
  <c r="I108" i="2"/>
  <c r="J6" i="2"/>
  <c r="L99" i="2"/>
  <c r="L100" i="2"/>
  <c r="Q100" i="2"/>
  <c r="Q97" i="2"/>
  <c r="AG97" i="2"/>
  <c r="E102" i="3"/>
  <c r="F101" i="3"/>
  <c r="Q13" i="2"/>
  <c r="Q99" i="2"/>
  <c r="F102" i="3"/>
  <c r="G101" i="3"/>
  <c r="G102" i="3"/>
  <c r="J105" i="2"/>
  <c r="J108" i="2"/>
  <c r="K6" i="2"/>
  <c r="K105" i="2"/>
  <c r="K108" i="2"/>
  <c r="L6" i="2"/>
  <c r="L105" i="2"/>
  <c r="L108" i="2"/>
  <c r="M6" i="2"/>
  <c r="M105" i="2"/>
  <c r="M108" i="2"/>
  <c r="N6" i="2"/>
  <c r="N105" i="2"/>
  <c r="N108" i="2"/>
  <c r="O6" i="2"/>
  <c r="O105" i="2"/>
  <c r="O108" i="2"/>
  <c r="T6" i="2"/>
  <c r="T105" i="2"/>
  <c r="T108" i="2"/>
  <c r="U6" i="2"/>
  <c r="U105" i="2"/>
  <c r="U108" i="2"/>
  <c r="V6" i="2"/>
  <c r="V105" i="2"/>
  <c r="V108" i="2"/>
  <c r="W6" i="2"/>
  <c r="W105" i="2"/>
  <c r="W108" i="2"/>
  <c r="X6" i="2"/>
  <c r="X105" i="2"/>
  <c r="X108" i="2"/>
  <c r="Y6" i="2"/>
  <c r="Y105" i="2"/>
  <c r="Y108" i="2"/>
  <c r="Z6" i="2"/>
  <c r="Z105" i="2"/>
  <c r="Z108" i="2"/>
  <c r="AA6" i="2"/>
  <c r="AA105" i="2"/>
  <c r="AA108" i="2"/>
  <c r="AB6" i="2"/>
  <c r="AC11" i="2"/>
  <c r="AG11" i="2"/>
  <c r="AB13" i="2"/>
  <c r="AB37" i="2"/>
  <c r="AB105" i="2"/>
  <c r="AB108" i="2"/>
  <c r="AC6" i="2"/>
  <c r="AC13" i="2"/>
  <c r="AC37" i="2"/>
  <c r="AG37" i="2"/>
  <c r="AC105" i="2"/>
  <c r="AC108" i="2"/>
  <c r="AD6" i="2"/>
  <c r="AD105" i="2"/>
  <c r="AD108" i="2"/>
  <c r="AE6" i="2"/>
  <c r="AE105" i="2"/>
  <c r="AE108" i="2"/>
  <c r="AJ6" i="2"/>
  <c r="AJ105" i="2"/>
  <c r="AJ108" i="2"/>
  <c r="AK6" i="2"/>
  <c r="AK105" i="2"/>
  <c r="AK108" i="2"/>
  <c r="AL6" i="2"/>
  <c r="AL105" i="2"/>
  <c r="AL108" i="2"/>
  <c r="AM6" i="2"/>
  <c r="AM105" i="2"/>
  <c r="AM108" i="2"/>
  <c r="AN6" i="2"/>
  <c r="AN105" i="2"/>
  <c r="AN108" i="2"/>
  <c r="AO6" i="2"/>
  <c r="AO105" i="2"/>
  <c r="AO108" i="2"/>
  <c r="AP6" i="2"/>
  <c r="AP105" i="2"/>
  <c r="AP108" i="2"/>
  <c r="AQ6" i="2"/>
  <c r="AQ105" i="2"/>
  <c r="AQ108" i="2"/>
  <c r="AR6" i="2"/>
  <c r="AR105" i="2"/>
  <c r="AR108" i="2"/>
  <c r="AS6" i="2"/>
  <c r="AS105" i="2"/>
  <c r="AS108" i="2"/>
  <c r="AT6" i="2"/>
  <c r="AT105" i="2"/>
  <c r="AT108" i="2"/>
  <c r="AU6" i="2"/>
  <c r="AU105" i="2"/>
  <c r="AU108" i="2"/>
  <c r="AG13" i="2"/>
</calcChain>
</file>

<file path=xl/sharedStrings.xml><?xml version="1.0" encoding="utf-8"?>
<sst xmlns="http://schemas.openxmlformats.org/spreadsheetml/2006/main" count="1395" uniqueCount="401">
  <si>
    <t>TOTAL INCOME</t>
  </si>
  <si>
    <t>TOTAL EXPENSE</t>
  </si>
  <si>
    <t>NET INCOME</t>
  </si>
  <si>
    <t xml:space="preserve">Local Control Funding Formula </t>
  </si>
  <si>
    <t>Education Protection Account</t>
  </si>
  <si>
    <t>In Lieu of Property Taxes</t>
  </si>
  <si>
    <t>All Other Federal Revenue</t>
  </si>
  <si>
    <t>Special Ed - AB602</t>
  </si>
  <si>
    <t>All Other State Revenues</t>
  </si>
  <si>
    <t>Food Service Sales</t>
  </si>
  <si>
    <t>All Other Local Revenue</t>
  </si>
  <si>
    <t>Grants</t>
  </si>
  <si>
    <t>Fundraising</t>
  </si>
  <si>
    <t>Other Certificated Salaries</t>
  </si>
  <si>
    <t>Classified Support Salaries (Maintenance, Food)</t>
  </si>
  <si>
    <t>STRS - State Teachers Retirement System</t>
  </si>
  <si>
    <t>PERS - Public Employee Retirement System</t>
  </si>
  <si>
    <t>OASDI - Social Security</t>
  </si>
  <si>
    <t>Workers' Compensation</t>
  </si>
  <si>
    <t>403B</t>
  </si>
  <si>
    <t>Student Materials</t>
  </si>
  <si>
    <t>Other Supplies</t>
  </si>
  <si>
    <t>Travel and Conferences</t>
  </si>
  <si>
    <t>Dues and Memberships</t>
  </si>
  <si>
    <t>Instructional Consultants</t>
  </si>
  <si>
    <t>District Oversight Fee</t>
  </si>
  <si>
    <t>Local Control Funding Formula Revenue</t>
  </si>
  <si>
    <t>Federal Income</t>
  </si>
  <si>
    <t>Other State Income</t>
  </si>
  <si>
    <t>Special Ed - IDEA</t>
  </si>
  <si>
    <t>Federal Child Nutrition</t>
  </si>
  <si>
    <t>State Child Nutrition</t>
  </si>
  <si>
    <t>Mandated Block Grant</t>
  </si>
  <si>
    <t>State Lottery</t>
  </si>
  <si>
    <t>SB740 Facility Grant</t>
  </si>
  <si>
    <t>Title I (Low-Income)</t>
  </si>
  <si>
    <t>Title II (Teacher Quality)</t>
  </si>
  <si>
    <t>Title III (Limited English Proficiency)</t>
  </si>
  <si>
    <t>Title V (Public Charter School Grant Program)</t>
  </si>
  <si>
    <t>Other Income-Local</t>
  </si>
  <si>
    <t>INCOME</t>
  </si>
  <si>
    <t>EXPENSE</t>
  </si>
  <si>
    <t>Certificated Salaries</t>
  </si>
  <si>
    <t xml:space="preserve">Teacher Salaries  </t>
  </si>
  <si>
    <t>Certificated Aide Salaries</t>
  </si>
  <si>
    <t>Certificated Administrator Salaries</t>
  </si>
  <si>
    <t>Classified Salaries</t>
  </si>
  <si>
    <t>Classified Aide Salaries</t>
  </si>
  <si>
    <t>Classified Administrator Salaries</t>
  </si>
  <si>
    <t>Clerical/Office Staff Salaries</t>
  </si>
  <si>
    <t>Other Classified Salaries</t>
  </si>
  <si>
    <t>Employee Benefits</t>
  </si>
  <si>
    <t>Books &amp; Supplies</t>
  </si>
  <si>
    <t>Non-Capitalized Equipment (Computers, Printers, etc.)</t>
  </si>
  <si>
    <t>Food Expense (Student Meals)</t>
  </si>
  <si>
    <t>Medicare</t>
  </si>
  <si>
    <t>Health Benefits</t>
  </si>
  <si>
    <t>State Unemployment Insurance</t>
  </si>
  <si>
    <t>Services &amp; Operating Expenses</t>
  </si>
  <si>
    <t>Insurance</t>
  </si>
  <si>
    <t>Janitorial Services</t>
  </si>
  <si>
    <t>Utilities</t>
  </si>
  <si>
    <t>Equipment Leases</t>
  </si>
  <si>
    <t>Textbooks &amp; Core Curriculum Materials</t>
  </si>
  <si>
    <t>Books &amp; Other Reference Materials</t>
  </si>
  <si>
    <t>Special Ed Encroachment / Fair Share</t>
  </si>
  <si>
    <t>Interest / Financing Fees</t>
  </si>
  <si>
    <t>Communications (Phone, Internet, etc.)</t>
  </si>
  <si>
    <t>Other Services &amp; Operating Expenses</t>
  </si>
  <si>
    <t>Legal Fees</t>
  </si>
  <si>
    <t>Marketing &amp; Recruitment</t>
  </si>
  <si>
    <t>Field Trips &amp; Other Student Transportation</t>
  </si>
  <si>
    <t>Audit Fees</t>
  </si>
  <si>
    <t xml:space="preserve">Non-Instructional Consultants </t>
  </si>
  <si>
    <t>Back-office Provider Fees</t>
  </si>
  <si>
    <t>Substitutes (i.e. Teachers on Reserve)</t>
  </si>
  <si>
    <t>Year 1</t>
  </si>
  <si>
    <t>Year 2</t>
  </si>
  <si>
    <t>Year 3</t>
  </si>
  <si>
    <t>Year 4</t>
  </si>
  <si>
    <t>Year 5</t>
  </si>
  <si>
    <t>Fund Balance / Reserve</t>
  </si>
  <si>
    <t>Assumptions</t>
  </si>
  <si>
    <t>ENROLLMENT &amp; ADA</t>
  </si>
  <si>
    <t>ADA %</t>
  </si>
  <si>
    <t>Planned Enrollment</t>
  </si>
  <si>
    <t>Average Daily Attendance (ADA)</t>
  </si>
  <si>
    <t>TK/K</t>
  </si>
  <si>
    <t>TK-3</t>
  </si>
  <si>
    <t>4-6</t>
  </si>
  <si>
    <t>7-8</t>
  </si>
  <si>
    <t>9-12</t>
  </si>
  <si>
    <t>Total</t>
  </si>
  <si>
    <t>STUDENT DEMOGRAPHICS</t>
  </si>
  <si>
    <t>School Name</t>
  </si>
  <si>
    <t>Unduplicated %</t>
  </si>
  <si>
    <t>FRL %</t>
  </si>
  <si>
    <t>EL %</t>
  </si>
  <si>
    <t>LOCAL CONTROL FUNDING FORMULA (LCFF)</t>
  </si>
  <si>
    <t>Total LCFF Funding</t>
  </si>
  <si>
    <t>Funding per ADA</t>
  </si>
  <si>
    <t>FCMAT Calculator for years 1-3 (years 4 and 5 conservatively assume flat rate of per ADA funding)</t>
  </si>
  <si>
    <t>SPECIAL EDUCATION</t>
  </si>
  <si>
    <t>Federal (IDEA) Revenue per ADA (most recent year available)</t>
  </si>
  <si>
    <t>State (AB602) Revenue per ADA (most recent year available)</t>
  </si>
  <si>
    <t>Federal (IDEA) Special Ed per ADA</t>
  </si>
  <si>
    <t>State (AB602) Special Ed per ADA</t>
  </si>
  <si>
    <t>TITLE FUNDING</t>
  </si>
  <si>
    <t>yes</t>
  </si>
  <si>
    <t>no</t>
  </si>
  <si>
    <t>Title III (Limited English Proficiency) per EL</t>
  </si>
  <si>
    <t>private facility site 1</t>
  </si>
  <si>
    <t>private facility site 2</t>
  </si>
  <si>
    <t>private facility site 3</t>
  </si>
  <si>
    <t>private facility site 1 enrollment</t>
  </si>
  <si>
    <t>private facility site 2 enrollment</t>
  </si>
  <si>
    <t>private facility site 3 enrollment</t>
  </si>
  <si>
    <t>Qualifying ADA for SB740 Grant:</t>
  </si>
  <si>
    <t>At each private facility site, will at least 55% of students qualify for FRL? 
- OR - Is the private facility site located in the attendance area of a public elementary school in which at least 55% of students qualified for FRL in the most recent year?</t>
  </si>
  <si>
    <t>qualifying ADA site 1</t>
  </si>
  <si>
    <t>qualifying ADA site 2</t>
  </si>
  <si>
    <t>qualifying ADA site 3</t>
  </si>
  <si>
    <t>Total Qualifying ADA</t>
  </si>
  <si>
    <t>Title I (Low-Income) per FRL student</t>
  </si>
  <si>
    <t>Assuming EPA is funded at $200/ADA</t>
  </si>
  <si>
    <t>Education Protection Account per ADA</t>
  </si>
  <si>
    <t>CHILD NUTRITION</t>
  </si>
  <si>
    <t>CERTIFICATED SALARIES</t>
  </si>
  <si>
    <t>Average Teacher Salary</t>
  </si>
  <si>
    <t>Total Teacher Salary Expense</t>
  </si>
  <si>
    <t>Budget for Teacher Stipends</t>
  </si>
  <si>
    <t>Teacher Stipends</t>
  </si>
  <si>
    <t>Average Cert. Aide Salary</t>
  </si>
  <si>
    <t>Total Cert. Aide Salary Expense</t>
  </si>
  <si>
    <t># of Teachers</t>
  </si>
  <si>
    <t># of Certificated Aides</t>
  </si>
  <si>
    <t># of Certificated Administrators</t>
  </si>
  <si>
    <t># of Other Certificated Employees</t>
  </si>
  <si>
    <t>Average Cert. Admin. Salary</t>
  </si>
  <si>
    <t>Average Other Cert. Salary</t>
  </si>
  <si>
    <t>Total Certificated Salary Expense</t>
  </si>
  <si>
    <t>CLASSIFIED SALARIES</t>
  </si>
  <si>
    <t># of Classified Aides</t>
  </si>
  <si>
    <t>Average Classified Aide Salary</t>
  </si>
  <si>
    <t>Total Cert. Admin. Salary Expense</t>
  </si>
  <si>
    <t>Total Other Cert. Salary Expense</t>
  </si>
  <si>
    <t>Total Classified Aide Salary Expense</t>
  </si>
  <si>
    <t># of Classified Support Employees (Maint, Food)</t>
  </si>
  <si>
    <t>Average Classified Support Salary</t>
  </si>
  <si>
    <t>Total Classified Support Salary Expense</t>
  </si>
  <si>
    <t># of Classified Administrators</t>
  </si>
  <si>
    <t>Average Classified Admin. Salary</t>
  </si>
  <si>
    <t>Total Classified Admin. Salary Expense</t>
  </si>
  <si>
    <t># of Clerical/Office Employees</t>
  </si>
  <si>
    <t>Average Clerical/Office Salary</t>
  </si>
  <si>
    <t>Total Clerical/Office Salary Expense</t>
  </si>
  <si>
    <t># of Other Classified Employees</t>
  </si>
  <si>
    <t>Average Other Classified Salary</t>
  </si>
  <si>
    <t>Total Other Classified Salary Expense</t>
  </si>
  <si>
    <t>Total Classified Salary Expense</t>
  </si>
  <si>
    <t>EMPLOYEE BENEFITS</t>
  </si>
  <si>
    <t>Teacher</t>
  </si>
  <si>
    <t>Certificated Aide</t>
  </si>
  <si>
    <t>Certificated Administrator</t>
  </si>
  <si>
    <t>Other Certificated</t>
  </si>
  <si>
    <t>Classified Aide</t>
  </si>
  <si>
    <t>Classified Support (Maintenance, Food)</t>
  </si>
  <si>
    <t>Classified Administrator</t>
  </si>
  <si>
    <t>Clerical/Office</t>
  </si>
  <si>
    <t xml:space="preserve">Other Classified </t>
  </si>
  <si>
    <t>Choose benefits for each employee type:</t>
  </si>
  <si>
    <t>Retirement</t>
  </si>
  <si>
    <t>Health</t>
  </si>
  <si>
    <t>STRS</t>
  </si>
  <si>
    <t>PERS</t>
  </si>
  <si>
    <t>403b</t>
  </si>
  <si>
    <t>Other</t>
  </si>
  <si>
    <t>CDE Exhibit</t>
  </si>
  <si>
    <t>Employer cost of retirement plan (% of salary):</t>
  </si>
  <si>
    <t>CalSTRS website (as of Sept 2016)</t>
  </si>
  <si>
    <t>School Services of CA (as of 2016)</t>
  </si>
  <si>
    <t>3% is a common contribution</t>
  </si>
  <si>
    <t>other</t>
  </si>
  <si>
    <t>none</t>
  </si>
  <si>
    <t>Other Retirement Benefits</t>
  </si>
  <si>
    <t>Benefit Calculations</t>
  </si>
  <si>
    <t>Teacher Stipend</t>
  </si>
  <si>
    <t>Title V (PUBLIC CHARTER SCHOOL GRANT PROGRAM)</t>
  </si>
  <si>
    <t>Planning Yr</t>
  </si>
  <si>
    <t>Enter grant amount per year</t>
  </si>
  <si>
    <t>Total STRS</t>
  </si>
  <si>
    <t>Total 403b</t>
  </si>
  <si>
    <t>Total PERS</t>
  </si>
  <si>
    <t>Total Other</t>
  </si>
  <si>
    <t>Total Health</t>
  </si>
  <si>
    <t>3% is a common COLA for charter schools statewide</t>
  </si>
  <si>
    <t>%</t>
  </si>
  <si>
    <t>All Classified</t>
  </si>
  <si>
    <t>Total OASDI</t>
  </si>
  <si>
    <t>Planning</t>
  </si>
  <si>
    <t>$6,000 per employee is a common assumption; Model assumes 10% cost increase each year, a conservative assumption based on charter school actuals</t>
  </si>
  <si>
    <t>Total Medicare</t>
  </si>
  <si>
    <t>State Unemployment</t>
  </si>
  <si>
    <t>Total Unemployment</t>
  </si>
  <si>
    <t>Workers' Comp</t>
  </si>
  <si>
    <t>Total Workers' Comp</t>
  </si>
  <si>
    <t>Do you plan on applying for Title I-III Funding?</t>
  </si>
  <si>
    <t>Title II (Teacher Quality) per FRL student</t>
  </si>
  <si>
    <t>Will at least 80% of instructional time take place at the school site?</t>
  </si>
  <si>
    <t>School status, per CDE definition</t>
  </si>
  <si>
    <t>CLASSROOM BASED or NON-CLASSROOM BASED</t>
  </si>
  <si>
    <t>Private Facility Lease Expense</t>
  </si>
  <si>
    <t>Prop 39 Facility Fees (if applicable)</t>
  </si>
  <si>
    <t>SCHOOL DAYS</t>
  </si>
  <si>
    <t>How many school days will you operate each year?</t>
  </si>
  <si>
    <t>Do you plan to serve meals?</t>
  </si>
  <si>
    <t>Do you plan to apply for Child Nutrition funding?</t>
  </si>
  <si>
    <t>Breakfast?</t>
  </si>
  <si>
    <t>Lunch?</t>
  </si>
  <si>
    <t>What % of enrollment will participate in meals?</t>
  </si>
  <si>
    <t>Federal Breakfast</t>
  </si>
  <si>
    <t>Federal Lunch</t>
  </si>
  <si>
    <t>Federal Snack</t>
  </si>
  <si>
    <t>State Lunch</t>
  </si>
  <si>
    <t>State Breakfast</t>
  </si>
  <si>
    <t>All rates are CDE published 16-17 rates, conservatively held flat all 5 yrs; avg of free/reduced rates</t>
  </si>
  <si>
    <t>After School Snack?</t>
  </si>
  <si>
    <t>Meal Calculations</t>
  </si>
  <si>
    <t>Federal Breakfast funding</t>
  </si>
  <si>
    <t>number of participating FRL</t>
  </si>
  <si>
    <t>number of FRL meals per year</t>
  </si>
  <si>
    <t>Federal Lunch funding</t>
  </si>
  <si>
    <t>Federal Snack funding</t>
  </si>
  <si>
    <t>State Breakfast funding</t>
  </si>
  <si>
    <t>State Lunch funding</t>
  </si>
  <si>
    <t>Child Nutrition funding estimates (per FRL student per meal):</t>
  </si>
  <si>
    <t>Cost of full price meals:</t>
  </si>
  <si>
    <t>Breakfast</t>
  </si>
  <si>
    <t>Lunch</t>
  </si>
  <si>
    <t>Snack</t>
  </si>
  <si>
    <t>Default values are based on typical charter school prices</t>
  </si>
  <si>
    <t>number of participating non-FRL</t>
  </si>
  <si>
    <t>number of non-FRL meals per year</t>
  </si>
  <si>
    <t>Local Funding from paid breakfast</t>
  </si>
  <si>
    <t>Local Funding from paid lunch</t>
  </si>
  <si>
    <t>Local Funding from paid snack</t>
  </si>
  <si>
    <t>BOOKS &amp; SUPPLIES</t>
  </si>
  <si>
    <t>Cost of Living Adjustment (COLA) for salaries</t>
  </si>
  <si>
    <t>3% is a common rate for charter schools statewide</t>
  </si>
  <si>
    <t>Enter flat amount for planning year purchases:</t>
  </si>
  <si>
    <t>Choose per student or flat amount for years 1-5:</t>
  </si>
  <si>
    <t>per student</t>
  </si>
  <si>
    <t>flat amount</t>
  </si>
  <si>
    <t>Inflation rate for expense increase over time</t>
  </si>
  <si>
    <t>Health insurance cost per employee</t>
  </si>
  <si>
    <t>These expenses grow with enrollment or inflation, depending on your selection</t>
  </si>
  <si>
    <t>SERVICES &amp; OPERATING EXPENSES</t>
  </si>
  <si>
    <t>Choose variable or flat amount for years 1-5:</t>
  </si>
  <si>
    <t>Repairs, Maintenance, Non-Capital Improvements</t>
  </si>
  <si>
    <t>Enter montly rate for years 1-5:</t>
  </si>
  <si>
    <t>monthly</t>
  </si>
  <si>
    <t>$ per month</t>
  </si>
  <si>
    <t>$ per student</t>
  </si>
  <si>
    <t>flat amt</t>
  </si>
  <si>
    <t>$ per variable</t>
  </si>
  <si>
    <t>Enter annual amount for year 1; Automatically grows with inflation</t>
  </si>
  <si>
    <t>Enter annual amount for year 1; Automatically grows with enrollment (you may decide to overwrite yrs 2-5 based on your rent expectations)</t>
  </si>
  <si>
    <t>Enrollment Growth</t>
  </si>
  <si>
    <t>Enter flat amount for planning year purchases/expenses:</t>
  </si>
  <si>
    <t>Insurance (Liability, D&amp;O)</t>
  </si>
  <si>
    <t>Growth Rate</t>
  </si>
  <si>
    <t>These monthly rates automatically grow at the same rate as your private facility lease expense</t>
  </si>
  <si>
    <t>Special Education Contractors</t>
  </si>
  <si>
    <t>per teacher</t>
  </si>
  <si>
    <t>Per student expenes grow automatically with enrollment, Flat Amounts grow automatically with inflation, Per teacher expenses grow automatically with teachers</t>
  </si>
  <si>
    <t>Enter amounts for years 1-5:</t>
  </si>
  <si>
    <t>choose one</t>
  </si>
  <si>
    <t>Enter annual amount for year 1; Automatically grows with enrollment (you may decide to overwrite yrs 2-5 based on your Prop 39 expectations)</t>
  </si>
  <si>
    <t>Special Ed Revenue</t>
  </si>
  <si>
    <t>From Revenue Input tab</t>
  </si>
  <si>
    <t>per ADA</t>
  </si>
  <si>
    <t>If you will be a school-of-district for special ed (or hybrid agreement), enter district's most recent encroachment/fair share rate (otherwise leave blank)</t>
  </si>
  <si>
    <t>-LESS- Special Ed Contractors</t>
  </si>
  <si>
    <t>-LESS- Special Ed Encroachment / Fair Share</t>
  </si>
  <si>
    <t>Enter annual amount for year 1; Automatically grows with enrollment</t>
  </si>
  <si>
    <t># of Certificated Special Ed Employees</t>
  </si>
  <si>
    <t>Average Cert. Special Ed Salary</t>
  </si>
  <si>
    <t>Total Cert. Special Ed Salary Expense</t>
  </si>
  <si>
    <t>Certificated Special Ed Salaries</t>
  </si>
  <si>
    <t>Certificated Special Ed</t>
  </si>
  <si>
    <t># of Classified Special Ed Employees</t>
  </si>
  <si>
    <t>Average Classified Special Ed Salary</t>
  </si>
  <si>
    <t>Total Classified Special Ed Salary Expense</t>
  </si>
  <si>
    <t>Classified Special Ed</t>
  </si>
  <si>
    <t>Classified Special Ed Salaries</t>
  </si>
  <si>
    <t>-LESS-Special Ed Salaries</t>
  </si>
  <si>
    <t>From Salaries section, above</t>
  </si>
  <si>
    <t>Unspent Special Ed Revenue</t>
  </si>
  <si>
    <t>DISTRICT OVERSIGHT</t>
  </si>
  <si>
    <t>Enter 1% unless Prop 39 will be included</t>
  </si>
  <si>
    <t>What % of LCFF revenue will you pay for district oversight?</t>
  </si>
  <si>
    <t>Reserve as % of Annual Expense</t>
  </si>
  <si>
    <t>ALL OTHER REVENUE</t>
  </si>
  <si>
    <t>FUNDRAISING &amp; GRANTS</t>
  </si>
  <si>
    <t>All Other State Revenue</t>
  </si>
  <si>
    <t>This line should be negative in all years, you must spend all Special Ed funds each year</t>
  </si>
  <si>
    <t>Annual Budget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</si>
  <si>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</si>
  <si>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</si>
  <si>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</si>
  <si>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</si>
  <si>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</si>
  <si>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</si>
  <si>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</si>
  <si>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</si>
  <si>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</si>
  <si>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</si>
  <si>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</si>
  <si>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</si>
  <si>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BEGINNING CASH BALANCE</t>
  </si>
  <si>
    <t>CASH BALANCE (before financing)</t>
  </si>
  <si>
    <t>ENDING CASH BALANCE</t>
  </si>
  <si>
    <t>Cash Flow Assumptions</t>
  </si>
  <si>
    <t>Cash Flow: Years 1-3</t>
  </si>
  <si>
    <t>Accrual</t>
  </si>
  <si>
    <t>Check</t>
  </si>
  <si>
    <t>Quarterly payments based on year 1 ADA; one month delay</t>
  </si>
  <si>
    <t>Conservatively assumes same schedule as LCFF revenues</t>
  </si>
  <si>
    <t>Assumes equal monthly payments; two month delay</t>
  </si>
  <si>
    <t>Years 2 &amp; 3</t>
  </si>
  <si>
    <t>Year 1 based on average year 1 funding for charters statewide; rate is conservatively held flat in all years</t>
  </si>
  <si>
    <t># FRL</t>
  </si>
  <si>
    <t># EL</t>
  </si>
  <si>
    <t># Unduplicated</t>
  </si>
  <si>
    <t>Conservatively assumes no cash payments in year 1</t>
  </si>
  <si>
    <t>Conservatively assumes no cash payments in year 2</t>
  </si>
  <si>
    <t>Conservatively assumes no cash payments in year 3</t>
  </si>
  <si>
    <t>Model conservatively assumes flat rate based on 2015-16 CDE published funding rate</t>
  </si>
  <si>
    <t>Assumes quarterly payments (for simplicity; this grant is typically reimbursement-based)</t>
  </si>
  <si>
    <t>Conservatively assumes same schedule as Title I-III revenues</t>
  </si>
  <si>
    <t>One month delay</t>
  </si>
  <si>
    <t>PENSEC schedule for first half of year based on year 1 ADA; Regular state schedule for second half based on year 1 ADA; one month delay with no deferrals</t>
  </si>
  <si>
    <t>Statutory schedule based on year 1 ADA; Assumes district holds Jul/Aug until Sep payment; one month delay</t>
  </si>
  <si>
    <t>New schools receive no cash payments in year 1</t>
  </si>
  <si>
    <t>Based on CSFA regulations for new schools applying by Oct 15</t>
  </si>
  <si>
    <t>Assumes fundraising dollars are received during second half of year</t>
  </si>
  <si>
    <t>Assumes grant funds are received quarterly</t>
  </si>
  <si>
    <t>Assumes all other local revenue is received during second half of year</t>
  </si>
  <si>
    <t>Same schedule as salaries</t>
  </si>
  <si>
    <t>Equal monthly payments</t>
  </si>
  <si>
    <t>30% due up front, then equal monthly payments</t>
  </si>
  <si>
    <t>Assumes 10 mth payment schedule (mid-Aug through mid-June)</t>
  </si>
  <si>
    <t>Equal monthly payments during school year (mid-Aug through mid-June)</t>
  </si>
  <si>
    <t>Assumes same schedule as prop tax revenues</t>
  </si>
  <si>
    <t>Payment due next school year</t>
  </si>
  <si>
    <t>Loans Received (enter data below)</t>
  </si>
  <si>
    <t>Loans Repaid (enter data below)</t>
  </si>
  <si>
    <t>Interest Rate (annual)</t>
  </si>
  <si>
    <t>Schedule for Year 1:</t>
  </si>
  <si>
    <t>LOAN 1</t>
  </si>
  <si>
    <t>Cash Received</t>
  </si>
  <si>
    <t>Repayments</t>
  </si>
  <si>
    <t>Interest Expense</t>
  </si>
  <si>
    <t>LOAN 2</t>
  </si>
  <si>
    <t>LOAN 3</t>
  </si>
  <si>
    <t>Ending Loan Balance</t>
  </si>
  <si>
    <t>Beginning Loan Balance</t>
  </si>
  <si>
    <t>Prior Year Revenue Accruals</t>
  </si>
  <si>
    <t>Prior Year Expense Accruals</t>
  </si>
  <si>
    <t>If any numbers in the above row (row 108) are negative, you will need financing; Fill in loan data below</t>
  </si>
  <si>
    <t>Schedule for Year 2:</t>
  </si>
  <si>
    <t>Quarters one and two based on year 1 ADA, quarter 3 is true-up based on year 2 ADA, quarter 4 based on year 2 ADA; one month delay</t>
  </si>
  <si>
    <t>Statutory schedule, first half of year based on year 1 ADA and second half based on year 2 ADA; one month delay</t>
  </si>
  <si>
    <t>Assumes five equal payments (this is an estimate, actual amounts will depend on reported cash balances)</t>
  </si>
  <si>
    <t>State lottery schedule</t>
  </si>
  <si>
    <t>Based on CSFA regulations assuming school applies at Fall deadline</t>
  </si>
  <si>
    <t>Schedule for Year 3:</t>
  </si>
  <si>
    <t>Loans Received</t>
  </si>
  <si>
    <t>Loans Repaid</t>
  </si>
  <si>
    <t>See loan calculations on Cash Flow Input tab</t>
  </si>
  <si>
    <t>75% of purchases occur in Jul/Aug/Sep</t>
  </si>
  <si>
    <t>Regular state schedule, first half of year based on year 1 ADA and second half based on year 2 ADA; one month delay with no deferrals (does NOT include PENSEC for grade growth, which may increase cash flow in first half of year)</t>
  </si>
  <si>
    <t xml:space="preserve">Assumes same schedule as Title I </t>
  </si>
  <si>
    <t>In-Lieu of Property Tax: Tax per ADA (most recent year available)</t>
  </si>
  <si>
    <t>Contact your district for this information</t>
  </si>
  <si>
    <t>Enter # of each employee type and average salary:</t>
  </si>
  <si>
    <t xml:space="preserve">This is the most recent interest rate for the CSFA Revolving Loan </t>
  </si>
  <si>
    <t>Enter as a % of salary (if applicable)</t>
  </si>
  <si>
    <t>175-180 is most common</t>
  </si>
  <si>
    <t>Enter $0 unless you will have cash left over from planning year</t>
  </si>
  <si>
    <t>Cash Flow: Years 1-3 (Scroll down to input financing information)</t>
  </si>
  <si>
    <t>Sol Aureus College Preparatory</t>
  </si>
  <si>
    <t>18/19</t>
  </si>
  <si>
    <t>19/20</t>
  </si>
  <si>
    <t>20/21</t>
  </si>
  <si>
    <t>21/22</t>
  </si>
  <si>
    <t>22/23</t>
  </si>
  <si>
    <t>17/18</t>
  </si>
  <si>
    <t>n/a</t>
  </si>
  <si>
    <t>District Facililites Lease</t>
  </si>
  <si>
    <t>SB740 FACILITY GRANT: NOT ELLIGIBLE DUE TO LEASING OF DISTRICT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</si>
</sst>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/>
    <xf numFmtId="0" fontId="2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3" fillId="3" borderId="4" xfId="0" applyFont="1" applyFill="1" applyBorder="1"/>
    <xf numFmtId="0" fontId="3" fillId="0" borderId="0" xfId="0" applyFont="1" applyFill="1" applyBorder="1" applyAlignment="1">
      <alignment horizontal="right"/>
    </xf>
    <xf numFmtId="9" fontId="2" fillId="2" borderId="4" xfId="2" applyFont="1" applyFill="1" applyBorder="1"/>
    <xf numFmtId="1" fontId="2" fillId="3" borderId="4" xfId="0" applyNumberFormat="1" applyFont="1" applyFill="1" applyBorder="1"/>
    <xf numFmtId="1" fontId="2" fillId="3" borderId="5" xfId="0" applyNumberFormat="1" applyFont="1" applyFill="1" applyBorder="1"/>
    <xf numFmtId="1" fontId="3" fillId="3" borderId="4" xfId="0" applyNumberFormat="1" applyFont="1" applyFill="1" applyBorder="1"/>
    <xf numFmtId="9" fontId="2" fillId="3" borderId="4" xfId="2" applyFont="1" applyFill="1" applyBorder="1"/>
    <xf numFmtId="0" fontId="3" fillId="0" borderId="0" xfId="0" applyFont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2" fillId="2" borderId="4" xfId="1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2" fillId="2" borderId="4" xfId="1" applyNumberFormat="1" applyFont="1" applyFill="1" applyBorder="1" applyAlignment="1">
      <alignment vertical="center"/>
    </xf>
    <xf numFmtId="44" fontId="2" fillId="3" borderId="4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vertical="center"/>
    </xf>
    <xf numFmtId="44" fontId="2" fillId="0" borderId="0" xfId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9" fontId="2" fillId="2" borderId="4" xfId="2" applyFont="1" applyFill="1" applyBorder="1" applyAlignment="1">
      <alignment vertical="center"/>
    </xf>
    <xf numFmtId="44" fontId="2" fillId="2" borderId="4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9" fontId="2" fillId="2" borderId="4" xfId="0" applyNumberFormat="1" applyFont="1" applyFill="1" applyBorder="1" applyAlignment="1">
      <alignment vertical="center"/>
    </xf>
    <xf numFmtId="164" fontId="2" fillId="3" borderId="4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6" fillId="2" borderId="4" xfId="1" applyNumberFormat="1" applyFont="1" applyFill="1" applyBorder="1" applyAlignment="1">
      <alignment vertical="center"/>
    </xf>
    <xf numFmtId="10" fontId="2" fillId="3" borderId="4" xfId="2" applyNumberFormat="1" applyFont="1" applyFill="1" applyBorder="1" applyAlignment="1">
      <alignment vertical="center"/>
    </xf>
    <xf numFmtId="10" fontId="2" fillId="3" borderId="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quotePrefix="1" applyFont="1" applyAlignment="1">
      <alignment horizontal="right" vertical="center"/>
    </xf>
    <xf numFmtId="164" fontId="2" fillId="3" borderId="10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3" borderId="0" xfId="1" applyNumberFormat="1" applyFont="1" applyFill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9" fontId="2" fillId="0" borderId="0" xfId="2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2" fillId="0" borderId="0" xfId="3" applyNumberFormat="1" applyFont="1" applyAlignment="1">
      <alignment vertical="center"/>
    </xf>
    <xf numFmtId="9" fontId="2" fillId="0" borderId="0" xfId="2" applyFont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4" fillId="3" borderId="0" xfId="0" applyNumberFormat="1" applyFont="1" applyFill="1" applyAlignment="1">
      <alignment vertical="center"/>
    </xf>
    <xf numFmtId="9" fontId="9" fillId="3" borderId="0" xfId="2" applyFont="1" applyFill="1" applyAlignment="1">
      <alignment vertical="center"/>
    </xf>
    <xf numFmtId="42" fontId="2" fillId="0" borderId="0" xfId="0" applyNumberFormat="1" applyFont="1" applyAlignment="1">
      <alignment vertical="center"/>
    </xf>
    <xf numFmtId="42" fontId="3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2" fillId="3" borderId="4" xfId="2" applyNumberFormat="1" applyFont="1" applyFill="1" applyBorder="1"/>
    <xf numFmtId="9" fontId="2" fillId="0" borderId="0" xfId="0" applyNumberFormat="1" applyFont="1" applyAlignment="1">
      <alignment vertical="center"/>
    </xf>
    <xf numFmtId="42" fontId="3" fillId="3" borderId="0" xfId="0" applyNumberFormat="1" applyFont="1" applyFill="1" applyAlignment="1">
      <alignment vertical="center"/>
    </xf>
    <xf numFmtId="42" fontId="2" fillId="3" borderId="0" xfId="0" applyNumberFormat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42" fontId="3" fillId="0" borderId="0" xfId="0" applyNumberFormat="1" applyFont="1" applyFill="1" applyAlignment="1">
      <alignment vertical="center"/>
    </xf>
    <xf numFmtId="42" fontId="2" fillId="0" borderId="0" xfId="0" applyNumberFormat="1" applyFont="1" applyFill="1" applyAlignment="1">
      <alignment vertical="center"/>
    </xf>
    <xf numFmtId="42" fontId="2" fillId="3" borderId="0" xfId="0" applyNumberFormat="1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0" fontId="2" fillId="2" borderId="4" xfId="2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42" fontId="5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2" fontId="3" fillId="3" borderId="12" xfId="0" applyNumberFormat="1" applyFont="1" applyFill="1" applyBorder="1" applyAlignment="1">
      <alignment vertical="center"/>
    </xf>
    <xf numFmtId="164" fontId="3" fillId="3" borderId="12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vertical="center"/>
    </xf>
    <xf numFmtId="9" fontId="2" fillId="3" borderId="4" xfId="2" applyFont="1" applyFill="1" applyBorder="1" applyAlignment="1">
      <alignment vertical="center"/>
    </xf>
    <xf numFmtId="9" fontId="2" fillId="3" borderId="4" xfId="2" applyNumberFormat="1" applyFont="1" applyFill="1" applyBorder="1" applyAlignment="1">
      <alignment vertical="center"/>
    </xf>
    <xf numFmtId="42" fontId="3" fillId="2" borderId="4" xfId="0" applyNumberFormat="1" applyFont="1" applyFill="1" applyBorder="1" applyAlignment="1">
      <alignment vertical="center"/>
    </xf>
    <xf numFmtId="42" fontId="9" fillId="0" borderId="0" xfId="0" applyNumberFormat="1" applyFont="1" applyAlignment="1">
      <alignment vertical="center"/>
    </xf>
    <xf numFmtId="0" fontId="5" fillId="0" borderId="0" xfId="0" applyFont="1"/>
    <xf numFmtId="0" fontId="15" fillId="0" borderId="3" xfId="0" applyFont="1" applyBorder="1" applyAlignment="1">
      <alignment horizontal="center" vertical="center" wrapText="1"/>
    </xf>
    <xf numFmtId="0" fontId="14" fillId="0" borderId="0" xfId="4" applyFont="1" applyFill="1" applyAlignment="1">
      <alignment horizontal="center" vertical="center"/>
    </xf>
    <xf numFmtId="42" fontId="16" fillId="3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2" fontId="16" fillId="3" borderId="0" xfId="0" applyNumberFormat="1" applyFont="1" applyFill="1" applyAlignment="1">
      <alignment vertic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50"/>
  <sheetViews>
    <sheetView zoomScale="80" zoomScaleNormal="80" zoomScalePageLayoutView="80" workbookViewId="0">
      <selection activeCell="F23" sqref="F23"/>
    </sheetView>
  </sheetViews>
  <sheetFormatPr baseColWidth="10" defaultColWidth="8.83203125" defaultRowHeight="14"/>
  <cols>
    <col min="1" max="1" width="15" style="1" customWidth="1"/>
    <col min="2" max="16384" width="8.83203125" style="1"/>
  </cols>
  <sheetData>
    <row r="1" spans="1:6">
      <c r="A1" s="2" t="s">
        <v>94</v>
      </c>
      <c r="C1" s="121" t="s">
        <v>391</v>
      </c>
      <c r="D1" s="121"/>
      <c r="E1" s="121"/>
      <c r="F1" s="121"/>
    </row>
    <row r="3" spans="1:6">
      <c r="A3" s="2" t="s">
        <v>83</v>
      </c>
    </row>
    <row r="4" spans="1:6">
      <c r="A4" s="2"/>
      <c r="B4" s="120" t="s">
        <v>85</v>
      </c>
      <c r="C4" s="120"/>
      <c r="D4" s="120"/>
      <c r="E4" s="120"/>
      <c r="F4" s="120"/>
    </row>
    <row r="5" spans="1:6">
      <c r="B5" s="3" t="s">
        <v>392</v>
      </c>
      <c r="C5" s="3" t="s">
        <v>393</v>
      </c>
      <c r="D5" s="3" t="s">
        <v>394</v>
      </c>
      <c r="E5" s="3" t="s">
        <v>395</v>
      </c>
      <c r="F5" s="3" t="s">
        <v>396</v>
      </c>
    </row>
    <row r="6" spans="1:6">
      <c r="A6" s="4" t="s">
        <v>87</v>
      </c>
      <c r="B6" s="5">
        <v>50</v>
      </c>
      <c r="C6" s="5">
        <v>50</v>
      </c>
      <c r="D6" s="5">
        <v>50</v>
      </c>
      <c r="E6" s="5">
        <v>50</v>
      </c>
      <c r="F6" s="5">
        <v>50</v>
      </c>
    </row>
    <row r="7" spans="1:6">
      <c r="A7" s="4">
        <v>1</v>
      </c>
      <c r="B7" s="5">
        <v>50</v>
      </c>
      <c r="C7" s="5">
        <v>50</v>
      </c>
      <c r="D7" s="5">
        <v>50</v>
      </c>
      <c r="E7" s="5">
        <v>50</v>
      </c>
      <c r="F7" s="5">
        <v>50</v>
      </c>
    </row>
    <row r="8" spans="1:6">
      <c r="A8" s="4">
        <v>2</v>
      </c>
      <c r="B8" s="5">
        <v>50</v>
      </c>
      <c r="C8" s="5">
        <v>50</v>
      </c>
      <c r="D8" s="5">
        <v>50</v>
      </c>
      <c r="E8" s="5">
        <v>50</v>
      </c>
      <c r="F8" s="5">
        <v>50</v>
      </c>
    </row>
    <row r="9" spans="1:6">
      <c r="A9" s="4">
        <v>3</v>
      </c>
      <c r="B9" s="5">
        <v>50</v>
      </c>
      <c r="C9" s="5">
        <v>50</v>
      </c>
      <c r="D9" s="5">
        <v>50</v>
      </c>
      <c r="E9" s="5">
        <v>50</v>
      </c>
      <c r="F9" s="5">
        <v>50</v>
      </c>
    </row>
    <row r="10" spans="1:6">
      <c r="A10" s="4">
        <v>4</v>
      </c>
      <c r="B10" s="5">
        <v>50</v>
      </c>
      <c r="C10" s="5">
        <v>50</v>
      </c>
      <c r="D10" s="5">
        <v>50</v>
      </c>
      <c r="E10" s="5">
        <v>50</v>
      </c>
      <c r="F10" s="5">
        <v>50</v>
      </c>
    </row>
    <row r="11" spans="1:6">
      <c r="A11" s="4">
        <v>5</v>
      </c>
      <c r="B11" s="5">
        <v>50</v>
      </c>
      <c r="C11" s="5">
        <v>50</v>
      </c>
      <c r="D11" s="5">
        <v>50</v>
      </c>
      <c r="E11" s="5">
        <v>50</v>
      </c>
      <c r="F11" s="5">
        <v>50</v>
      </c>
    </row>
    <row r="12" spans="1:6">
      <c r="A12" s="4">
        <v>6</v>
      </c>
      <c r="B12" s="5">
        <v>50</v>
      </c>
      <c r="C12" s="5">
        <v>50</v>
      </c>
      <c r="D12" s="5">
        <v>50</v>
      </c>
      <c r="E12" s="5">
        <v>50</v>
      </c>
      <c r="F12" s="5">
        <v>50</v>
      </c>
    </row>
    <row r="13" spans="1:6">
      <c r="A13" s="4">
        <v>7</v>
      </c>
      <c r="B13" s="5">
        <v>25</v>
      </c>
      <c r="C13" s="5">
        <v>50</v>
      </c>
      <c r="D13" s="5">
        <v>50</v>
      </c>
      <c r="E13" s="5">
        <v>50</v>
      </c>
      <c r="F13" s="5">
        <v>50</v>
      </c>
    </row>
    <row r="14" spans="1:6">
      <c r="A14" s="4">
        <v>8</v>
      </c>
      <c r="B14" s="5">
        <v>25</v>
      </c>
      <c r="C14" s="5">
        <v>25</v>
      </c>
      <c r="D14" s="5">
        <v>50</v>
      </c>
      <c r="E14" s="5">
        <v>50</v>
      </c>
      <c r="F14" s="5">
        <v>50</v>
      </c>
    </row>
    <row r="15" spans="1:6">
      <c r="A15" s="4">
        <v>9</v>
      </c>
      <c r="B15" s="5"/>
      <c r="C15" s="5"/>
      <c r="D15" s="5"/>
      <c r="E15" s="5"/>
      <c r="F15" s="5"/>
    </row>
    <row r="16" spans="1:6">
      <c r="A16" s="4">
        <v>10</v>
      </c>
      <c r="B16" s="5"/>
      <c r="C16" s="5"/>
      <c r="D16" s="5"/>
      <c r="E16" s="5"/>
      <c r="F16" s="5"/>
    </row>
    <row r="17" spans="1:6">
      <c r="A17" s="4">
        <v>11</v>
      </c>
      <c r="B17" s="5"/>
      <c r="C17" s="5"/>
      <c r="D17" s="5"/>
      <c r="E17" s="5"/>
      <c r="F17" s="5"/>
    </row>
    <row r="18" spans="1:6">
      <c r="A18" s="4">
        <v>12</v>
      </c>
      <c r="B18" s="5"/>
      <c r="C18" s="5"/>
      <c r="D18" s="5"/>
      <c r="E18" s="5"/>
      <c r="F18" s="5"/>
    </row>
    <row r="19" spans="1:6">
      <c r="A19" s="7" t="s">
        <v>92</v>
      </c>
      <c r="B19" s="8">
        <f>+SUM(B6:B18)</f>
        <v>400</v>
      </c>
      <c r="C19" s="8">
        <f t="shared" ref="C19:F19" si="0">+SUM(C6:C18)</f>
        <v>425</v>
      </c>
      <c r="D19" s="8">
        <f t="shared" si="0"/>
        <v>450</v>
      </c>
      <c r="E19" s="8">
        <f t="shared" si="0"/>
        <v>450</v>
      </c>
      <c r="F19" s="8">
        <f t="shared" si="0"/>
        <v>450</v>
      </c>
    </row>
    <row r="20" spans="1:6" hidden="1">
      <c r="A20" s="7"/>
      <c r="B20" s="20"/>
      <c r="C20" s="20"/>
      <c r="D20" s="20"/>
      <c r="E20" s="20"/>
      <c r="F20" s="20"/>
    </row>
    <row r="21" spans="1:6" hidden="1">
      <c r="A21" s="4" t="s">
        <v>267</v>
      </c>
      <c r="B21" s="20"/>
      <c r="C21" s="14">
        <f>(C19-B19)/B19</f>
        <v>6.25E-2</v>
      </c>
      <c r="D21" s="14">
        <f t="shared" ref="D21:F21" si="1">(D19-C19)/C19</f>
        <v>5.8823529411764705E-2</v>
      </c>
      <c r="E21" s="14">
        <f t="shared" si="1"/>
        <v>0</v>
      </c>
      <c r="F21" s="14">
        <f t="shared" si="1"/>
        <v>0</v>
      </c>
    </row>
    <row r="23" spans="1:6">
      <c r="A23" s="4" t="s">
        <v>84</v>
      </c>
      <c r="B23" s="10">
        <v>0.9</v>
      </c>
      <c r="C23" s="10">
        <v>0.9</v>
      </c>
      <c r="D23" s="10">
        <v>0.9</v>
      </c>
      <c r="E23" s="10">
        <v>0.9</v>
      </c>
      <c r="F23" s="10">
        <v>0.9</v>
      </c>
    </row>
    <row r="25" spans="1:6">
      <c r="B25" s="120" t="s">
        <v>86</v>
      </c>
      <c r="C25" s="120"/>
      <c r="D25" s="120"/>
      <c r="E25" s="120"/>
      <c r="F25" s="120"/>
    </row>
    <row r="26" spans="1:6">
      <c r="B26" s="3" t="s">
        <v>392</v>
      </c>
      <c r="C26" s="3" t="s">
        <v>393</v>
      </c>
      <c r="D26" s="3" t="s">
        <v>394</v>
      </c>
      <c r="E26" s="3" t="s">
        <v>395</v>
      </c>
      <c r="F26" s="3" t="s">
        <v>396</v>
      </c>
    </row>
    <row r="27" spans="1:6">
      <c r="A27" s="4" t="s">
        <v>88</v>
      </c>
      <c r="B27" s="11">
        <f>+B23*SUM(B6:B9)</f>
        <v>180</v>
      </c>
      <c r="C27" s="11">
        <f t="shared" ref="C27:F27" si="2">+C23*SUM(C6:C9)</f>
        <v>180</v>
      </c>
      <c r="D27" s="11">
        <f t="shared" si="2"/>
        <v>180</v>
      </c>
      <c r="E27" s="11">
        <f t="shared" si="2"/>
        <v>180</v>
      </c>
      <c r="F27" s="11">
        <f t="shared" si="2"/>
        <v>180</v>
      </c>
    </row>
    <row r="28" spans="1:6">
      <c r="A28" s="6" t="s">
        <v>89</v>
      </c>
      <c r="B28" s="11">
        <f>B23*SUM(B10:B12)</f>
        <v>135</v>
      </c>
      <c r="C28" s="11">
        <f t="shared" ref="C28:F28" si="3">C23*SUM(C10:C12)</f>
        <v>135</v>
      </c>
      <c r="D28" s="11">
        <f t="shared" si="3"/>
        <v>135</v>
      </c>
      <c r="E28" s="11">
        <f t="shared" si="3"/>
        <v>135</v>
      </c>
      <c r="F28" s="11">
        <f t="shared" si="3"/>
        <v>135</v>
      </c>
    </row>
    <row r="29" spans="1:6">
      <c r="A29" s="6" t="s">
        <v>90</v>
      </c>
      <c r="B29" s="11">
        <f>B23*SUM(B13:B14)</f>
        <v>45</v>
      </c>
      <c r="C29" s="11">
        <f t="shared" ref="C29:F29" si="4">C23*SUM(C13:C14)</f>
        <v>67.5</v>
      </c>
      <c r="D29" s="11">
        <f t="shared" si="4"/>
        <v>90</v>
      </c>
      <c r="E29" s="11">
        <f t="shared" si="4"/>
        <v>90</v>
      </c>
      <c r="F29" s="11">
        <f t="shared" si="4"/>
        <v>90</v>
      </c>
    </row>
    <row r="30" spans="1:6">
      <c r="A30" s="6" t="s">
        <v>91</v>
      </c>
      <c r="B30" s="12">
        <f>B23*SUM(B15:B18)</f>
        <v>0</v>
      </c>
      <c r="C30" s="12">
        <f t="shared" ref="C30:F30" si="5">C23*SUM(C15:C18)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</row>
    <row r="31" spans="1:6">
      <c r="A31" s="9" t="s">
        <v>92</v>
      </c>
      <c r="B31" s="13">
        <f>+SUM(B27:B30)</f>
        <v>360</v>
      </c>
      <c r="C31" s="13">
        <f t="shared" ref="C31:F31" si="6">+SUM(C27:C30)</f>
        <v>382.5</v>
      </c>
      <c r="D31" s="13">
        <f t="shared" si="6"/>
        <v>405</v>
      </c>
      <c r="E31" s="13">
        <f t="shared" si="6"/>
        <v>405</v>
      </c>
      <c r="F31" s="13">
        <f t="shared" si="6"/>
        <v>405</v>
      </c>
    </row>
    <row r="33" spans="1:7">
      <c r="A33" s="2" t="s">
        <v>93</v>
      </c>
    </row>
    <row r="35" spans="1:7">
      <c r="B35" s="3" t="s">
        <v>392</v>
      </c>
      <c r="C35" s="3" t="s">
        <v>393</v>
      </c>
      <c r="D35" s="3" t="s">
        <v>394</v>
      </c>
      <c r="E35" s="3" t="s">
        <v>395</v>
      </c>
      <c r="F35" s="3" t="s">
        <v>396</v>
      </c>
    </row>
    <row r="36" spans="1:7">
      <c r="A36" s="4" t="s">
        <v>96</v>
      </c>
      <c r="B36" s="10">
        <v>0.7</v>
      </c>
      <c r="C36" s="10">
        <v>0.7</v>
      </c>
      <c r="D36" s="10">
        <v>0.7</v>
      </c>
      <c r="E36" s="10">
        <v>0.7</v>
      </c>
      <c r="F36" s="10">
        <v>0.7</v>
      </c>
    </row>
    <row r="37" spans="1:7" hidden="1">
      <c r="A37" s="4" t="s">
        <v>331</v>
      </c>
      <c r="B37" s="86">
        <f>B36*B19</f>
        <v>280</v>
      </c>
      <c r="C37" s="86">
        <f t="shared" ref="C37:F37" si="7">C36*C19</f>
        <v>297.5</v>
      </c>
      <c r="D37" s="86">
        <f t="shared" si="7"/>
        <v>315</v>
      </c>
      <c r="E37" s="86">
        <f t="shared" si="7"/>
        <v>315</v>
      </c>
      <c r="F37" s="86">
        <f t="shared" si="7"/>
        <v>315</v>
      </c>
    </row>
    <row r="38" spans="1:7">
      <c r="A38" s="4" t="s">
        <v>97</v>
      </c>
      <c r="B38" s="10">
        <v>0.15</v>
      </c>
      <c r="C38" s="10">
        <v>0.15</v>
      </c>
      <c r="D38" s="10">
        <v>0.15</v>
      </c>
      <c r="E38" s="10">
        <v>0.15</v>
      </c>
      <c r="F38" s="10">
        <v>0.15</v>
      </c>
    </row>
    <row r="39" spans="1:7" hidden="1">
      <c r="A39" s="4" t="s">
        <v>332</v>
      </c>
      <c r="B39" s="86">
        <f>B38*B19</f>
        <v>60</v>
      </c>
      <c r="C39" s="86">
        <f t="shared" ref="C39:F39" si="8">C38*C19</f>
        <v>63.75</v>
      </c>
      <c r="D39" s="86">
        <f t="shared" si="8"/>
        <v>67.5</v>
      </c>
      <c r="E39" s="86">
        <f t="shared" si="8"/>
        <v>67.5</v>
      </c>
      <c r="F39" s="86">
        <f t="shared" si="8"/>
        <v>67.5</v>
      </c>
    </row>
    <row r="40" spans="1:7">
      <c r="A40" s="4" t="s">
        <v>95</v>
      </c>
      <c r="B40" s="10">
        <v>0.24</v>
      </c>
      <c r="C40" s="10">
        <v>0.24</v>
      </c>
      <c r="D40" s="10">
        <v>0.24</v>
      </c>
      <c r="E40" s="10">
        <v>0.24</v>
      </c>
      <c r="F40" s="10">
        <v>0.24</v>
      </c>
    </row>
    <row r="41" spans="1:7">
      <c r="A41" s="4" t="s">
        <v>333</v>
      </c>
      <c r="B41" s="86">
        <f>B40*B19</f>
        <v>96</v>
      </c>
      <c r="C41" s="86">
        <f t="shared" ref="C41:F41" si="9">C40*C19</f>
        <v>102</v>
      </c>
      <c r="D41" s="86">
        <f t="shared" si="9"/>
        <v>108</v>
      </c>
      <c r="E41" s="86">
        <f t="shared" si="9"/>
        <v>108</v>
      </c>
      <c r="F41" s="86">
        <f t="shared" si="9"/>
        <v>108</v>
      </c>
    </row>
    <row r="43" spans="1:7">
      <c r="A43" s="2" t="s">
        <v>210</v>
      </c>
    </row>
    <row r="45" spans="1:7">
      <c r="A45" s="1" t="s">
        <v>208</v>
      </c>
      <c r="G45" s="17" t="s">
        <v>108</v>
      </c>
    </row>
    <row r="46" spans="1:7">
      <c r="A46" s="1" t="s">
        <v>209</v>
      </c>
      <c r="D46" s="122" t="str">
        <f>IF(G45="yes","Classroom Based Program",IF(G45="no","Non-Classroom Based Program",""))</f>
        <v>Classroom Based Program</v>
      </c>
      <c r="E46" s="123"/>
      <c r="F46" s="123"/>
      <c r="G46" s="124"/>
    </row>
    <row r="48" spans="1:7">
      <c r="A48" s="1" t="s">
        <v>213</v>
      </c>
    </row>
    <row r="50" spans="1:8">
      <c r="A50" s="1" t="s">
        <v>214</v>
      </c>
      <c r="G50" s="5">
        <v>180</v>
      </c>
      <c r="H50" s="116" t="s">
        <v>388</v>
      </c>
    </row>
  </sheetData>
  <mergeCells count="4">
    <mergeCell ref="B4:F4"/>
    <mergeCell ref="B25:F25"/>
    <mergeCell ref="C1:F1"/>
    <mergeCell ref="D46:G46"/>
  </mergeCell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'Model Calculations'!$A$1:$A$2</xm:f>
          </x14:formula1>
          <xm:sqref>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87"/>
  <sheetViews>
    <sheetView tabSelected="1" topLeftCell="A55" zoomScale="150" zoomScaleNormal="80" zoomScalePageLayoutView="80" workbookViewId="0">
      <selection activeCell="A34" sqref="A34"/>
    </sheetView>
  </sheetViews>
  <sheetFormatPr baseColWidth="10" defaultColWidth="8.83203125" defaultRowHeight="14"/>
  <cols>
    <col min="1" max="1" width="32" style="24" customWidth="1"/>
    <col min="2" max="2" width="10" style="24" customWidth="1"/>
    <col min="3" max="7" width="10.83203125" style="24" customWidth="1"/>
    <col min="8" max="8" width="65.6640625" style="25" customWidth="1"/>
    <col min="9" max="16384" width="8.83203125" style="24"/>
  </cols>
  <sheetData>
    <row r="1" spans="1:9">
      <c r="A1" s="23" t="s">
        <v>98</v>
      </c>
      <c r="B1" s="23"/>
    </row>
    <row r="2" spans="1:9" ht="15">
      <c r="I2"/>
    </row>
    <row r="3" spans="1:9" ht="15">
      <c r="C3" s="3" t="s">
        <v>392</v>
      </c>
      <c r="D3" s="3" t="s">
        <v>393</v>
      </c>
      <c r="E3" s="3" t="s">
        <v>394</v>
      </c>
      <c r="F3" s="3" t="s">
        <v>395</v>
      </c>
      <c r="G3" s="3" t="s">
        <v>396</v>
      </c>
      <c r="H3" s="27"/>
      <c r="I3"/>
    </row>
    <row r="4" spans="1:9" ht="15">
      <c r="A4" s="24" t="s">
        <v>99</v>
      </c>
      <c r="C4" s="28">
        <v>2991474.6416000002</v>
      </c>
      <c r="D4" s="28">
        <v>3225019.4232000001</v>
      </c>
      <c r="E4" s="28">
        <v>3515094</v>
      </c>
      <c r="F4" s="29">
        <f>E5*'General Info Input'!E31</f>
        <v>3515094</v>
      </c>
      <c r="G4" s="29">
        <f>F5*'General Info Input'!F31</f>
        <v>3515094</v>
      </c>
      <c r="H4" s="25" t="s">
        <v>101</v>
      </c>
      <c r="I4"/>
    </row>
    <row r="5" spans="1:9" ht="15">
      <c r="A5" s="24" t="s">
        <v>100</v>
      </c>
      <c r="C5" s="29">
        <f>C4/'General Info Input'!B31</f>
        <v>8309.6517822222231</v>
      </c>
      <c r="D5" s="29">
        <f>D4/'General Info Input'!C31</f>
        <v>8431.4233286274521</v>
      </c>
      <c r="E5" s="29">
        <f>E4/'General Info Input'!D31</f>
        <v>8679.2444444444445</v>
      </c>
      <c r="F5" s="29">
        <f>F4/'General Info Input'!E31</f>
        <v>8679.2444444444445</v>
      </c>
      <c r="G5" s="29">
        <f>G4/'General Info Input'!F31</f>
        <v>8679.2444444444445</v>
      </c>
      <c r="I5"/>
    </row>
    <row r="6" spans="1:9" s="30" customFormat="1">
      <c r="A6" s="30" t="s">
        <v>125</v>
      </c>
      <c r="C6" s="29">
        <v>200</v>
      </c>
      <c r="D6" s="29">
        <f>+C6</f>
        <v>200</v>
      </c>
      <c r="E6" s="29">
        <f t="shared" ref="E6:G6" si="0">+D6</f>
        <v>200</v>
      </c>
      <c r="F6" s="29">
        <f t="shared" si="0"/>
        <v>200</v>
      </c>
      <c r="G6" s="29">
        <f t="shared" si="0"/>
        <v>200</v>
      </c>
      <c r="H6" s="31" t="s">
        <v>124</v>
      </c>
    </row>
    <row r="8" spans="1:9" ht="15">
      <c r="A8" s="24" t="s">
        <v>383</v>
      </c>
      <c r="E8" s="32">
        <v>1836.53</v>
      </c>
      <c r="F8" s="25" t="s">
        <v>177</v>
      </c>
      <c r="G8" s="118"/>
    </row>
    <row r="10" spans="1:9">
      <c r="A10" s="23" t="s">
        <v>102</v>
      </c>
      <c r="B10" s="23"/>
    </row>
    <row r="13" spans="1:9">
      <c r="A13" s="24" t="s">
        <v>103</v>
      </c>
      <c r="E13" s="32">
        <v>0</v>
      </c>
      <c r="F13" s="125"/>
      <c r="G13" s="126"/>
    </row>
    <row r="14" spans="1:9">
      <c r="A14" s="24" t="s">
        <v>104</v>
      </c>
      <c r="E14" s="32">
        <v>0</v>
      </c>
      <c r="F14" s="125"/>
      <c r="G14" s="126"/>
    </row>
    <row r="15" spans="1:9">
      <c r="C15" s="3" t="s">
        <v>392</v>
      </c>
      <c r="D15" s="3" t="s">
        <v>393</v>
      </c>
      <c r="E15" s="3" t="s">
        <v>394</v>
      </c>
      <c r="F15" s="3" t="s">
        <v>395</v>
      </c>
      <c r="G15" s="3" t="s">
        <v>396</v>
      </c>
      <c r="H15" s="27"/>
    </row>
    <row r="16" spans="1:9">
      <c r="A16" s="24" t="s">
        <v>105</v>
      </c>
      <c r="C16" s="33">
        <v>0</v>
      </c>
      <c r="D16" s="33">
        <f>E13</f>
        <v>0</v>
      </c>
      <c r="E16" s="33">
        <f>D16</f>
        <v>0</v>
      </c>
      <c r="F16" s="33">
        <f>E16</f>
        <v>0</v>
      </c>
      <c r="G16" s="33">
        <f>F16</f>
        <v>0</v>
      </c>
    </row>
    <row r="17" spans="1:8">
      <c r="A17" s="24" t="s">
        <v>106</v>
      </c>
      <c r="C17" s="33">
        <f>E14</f>
        <v>0</v>
      </c>
      <c r="D17" s="33">
        <f>C17</f>
        <v>0</v>
      </c>
      <c r="E17" s="33">
        <f t="shared" ref="E17:G17" si="1">D17</f>
        <v>0</v>
      </c>
      <c r="F17" s="33">
        <f t="shared" si="1"/>
        <v>0</v>
      </c>
      <c r="G17" s="33">
        <f t="shared" si="1"/>
        <v>0</v>
      </c>
    </row>
    <row r="19" spans="1:8">
      <c r="A19" s="23" t="s">
        <v>107</v>
      </c>
      <c r="B19" s="23"/>
    </row>
    <row r="21" spans="1:8">
      <c r="A21" s="24" t="s">
        <v>206</v>
      </c>
      <c r="C21" s="34" t="s">
        <v>108</v>
      </c>
      <c r="D21" s="25"/>
    </row>
    <row r="23" spans="1:8">
      <c r="C23" s="3" t="s">
        <v>392</v>
      </c>
      <c r="D23" s="3" t="s">
        <v>393</v>
      </c>
      <c r="E23" s="3" t="s">
        <v>394</v>
      </c>
      <c r="F23" s="3" t="s">
        <v>395</v>
      </c>
      <c r="G23" s="3" t="s">
        <v>396</v>
      </c>
      <c r="H23" s="27"/>
    </row>
    <row r="24" spans="1:8">
      <c r="A24" s="24" t="s">
        <v>123</v>
      </c>
      <c r="C24" s="35">
        <v>350</v>
      </c>
      <c r="D24" s="35">
        <f>C24</f>
        <v>350</v>
      </c>
      <c r="E24" s="35">
        <f t="shared" ref="E24:G24" si="2">D24</f>
        <v>350</v>
      </c>
      <c r="F24" s="35">
        <f t="shared" si="2"/>
        <v>350</v>
      </c>
      <c r="G24" s="35">
        <f t="shared" si="2"/>
        <v>350</v>
      </c>
      <c r="H24" s="25" t="s">
        <v>330</v>
      </c>
    </row>
    <row r="25" spans="1:8">
      <c r="A25" s="24" t="s">
        <v>207</v>
      </c>
      <c r="C25" s="33">
        <v>5</v>
      </c>
      <c r="D25" s="35">
        <f>C25</f>
        <v>5</v>
      </c>
      <c r="E25" s="35">
        <f t="shared" ref="E25:G25" si="3">D25</f>
        <v>5</v>
      </c>
      <c r="F25" s="35">
        <f t="shared" si="3"/>
        <v>5</v>
      </c>
      <c r="G25" s="35">
        <f t="shared" si="3"/>
        <v>5</v>
      </c>
      <c r="H25" s="25" t="s">
        <v>330</v>
      </c>
    </row>
    <row r="26" spans="1:8">
      <c r="A26" s="24" t="s">
        <v>110</v>
      </c>
      <c r="C26" s="33">
        <v>96.86</v>
      </c>
      <c r="D26" s="33">
        <f>C26</f>
        <v>96.86</v>
      </c>
      <c r="E26" s="33">
        <f t="shared" ref="E26" si="4">D26</f>
        <v>96.86</v>
      </c>
      <c r="F26" s="33">
        <f t="shared" ref="F26" si="5">E26</f>
        <v>96.86</v>
      </c>
      <c r="G26" s="33">
        <f t="shared" ref="G26" si="6">F26</f>
        <v>96.86</v>
      </c>
      <c r="H26" s="25" t="s">
        <v>337</v>
      </c>
    </row>
    <row r="28" spans="1:8">
      <c r="A28" s="23" t="s">
        <v>187</v>
      </c>
      <c r="B28" s="23"/>
    </row>
    <row r="30" spans="1:8">
      <c r="B30" s="3"/>
      <c r="C30" s="3" t="s">
        <v>392</v>
      </c>
      <c r="D30" s="3" t="s">
        <v>393</v>
      </c>
      <c r="E30" s="3" t="s">
        <v>394</v>
      </c>
      <c r="F30" s="3" t="s">
        <v>395</v>
      </c>
      <c r="G30" s="3" t="s">
        <v>396</v>
      </c>
    </row>
    <row r="31" spans="1:8">
      <c r="A31" s="24" t="s">
        <v>189</v>
      </c>
      <c r="B31" s="50"/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3" spans="1:7">
      <c r="A33" s="23" t="s">
        <v>400</v>
      </c>
      <c r="B33" s="23"/>
    </row>
    <row r="35" spans="1:7">
      <c r="A35" s="70"/>
    </row>
    <row r="37" spans="1:7">
      <c r="C37" s="117" t="s">
        <v>392</v>
      </c>
      <c r="D37" s="117" t="s">
        <v>393</v>
      </c>
      <c r="E37" s="117" t="s">
        <v>394</v>
      </c>
      <c r="F37" s="117" t="s">
        <v>395</v>
      </c>
      <c r="G37" s="117" t="s">
        <v>396</v>
      </c>
    </row>
    <row r="38" spans="1:7">
      <c r="A38" s="37" t="s">
        <v>114</v>
      </c>
      <c r="B38" s="37"/>
      <c r="C38" s="38"/>
      <c r="D38" s="38"/>
      <c r="E38" s="38"/>
      <c r="F38" s="38"/>
      <c r="G38" s="38"/>
    </row>
    <row r="39" spans="1:7">
      <c r="A39" s="37" t="s">
        <v>115</v>
      </c>
      <c r="B39" s="37"/>
      <c r="C39" s="38"/>
      <c r="D39" s="38"/>
      <c r="E39" s="38"/>
      <c r="F39" s="38"/>
      <c r="G39" s="38"/>
    </row>
    <row r="40" spans="1:7">
      <c r="A40" s="37" t="s">
        <v>116</v>
      </c>
      <c r="B40" s="37"/>
      <c r="C40" s="38"/>
      <c r="D40" s="38"/>
      <c r="E40" s="38"/>
      <c r="F40" s="38"/>
      <c r="G40" s="38"/>
    </row>
    <row r="41" spans="1:7" ht="38.5" customHeight="1">
      <c r="A41" s="127" t="s">
        <v>118</v>
      </c>
      <c r="B41" s="127"/>
      <c r="C41" s="127"/>
      <c r="D41" s="127"/>
      <c r="E41" s="127"/>
      <c r="F41" s="127"/>
      <c r="G41" s="127"/>
    </row>
    <row r="42" spans="1:7">
      <c r="C42" s="117" t="s">
        <v>392</v>
      </c>
      <c r="D42" s="117" t="s">
        <v>393</v>
      </c>
      <c r="E42" s="117" t="s">
        <v>394</v>
      </c>
      <c r="F42" s="117" t="s">
        <v>395</v>
      </c>
      <c r="G42" s="117" t="s">
        <v>396</v>
      </c>
    </row>
    <row r="43" spans="1:7">
      <c r="A43" s="37" t="s">
        <v>111</v>
      </c>
      <c r="B43" s="37"/>
      <c r="C43" s="34"/>
      <c r="D43" s="34"/>
      <c r="E43" s="34"/>
      <c r="F43" s="34"/>
      <c r="G43" s="34"/>
    </row>
    <row r="44" spans="1:7">
      <c r="A44" s="37" t="s">
        <v>112</v>
      </c>
      <c r="B44" s="37"/>
      <c r="C44" s="34"/>
      <c r="D44" s="34"/>
      <c r="E44" s="34"/>
      <c r="F44" s="34"/>
      <c r="G44" s="34"/>
    </row>
    <row r="45" spans="1:7">
      <c r="A45" s="37" t="s">
        <v>113</v>
      </c>
      <c r="B45" s="37"/>
      <c r="C45" s="34"/>
      <c r="D45" s="34"/>
      <c r="E45" s="34"/>
      <c r="F45" s="34"/>
      <c r="G45" s="34"/>
    </row>
    <row r="46" spans="1:7">
      <c r="A46" s="24" t="s">
        <v>117</v>
      </c>
    </row>
    <row r="47" spans="1:7">
      <c r="C47" s="117" t="s">
        <v>392</v>
      </c>
      <c r="D47" s="117" t="s">
        <v>393</v>
      </c>
      <c r="E47" s="117" t="s">
        <v>394</v>
      </c>
      <c r="F47" s="117" t="s">
        <v>395</v>
      </c>
      <c r="G47" s="117" t="s">
        <v>396</v>
      </c>
    </row>
    <row r="48" spans="1:7">
      <c r="A48" s="37" t="s">
        <v>119</v>
      </c>
      <c r="B48" s="37"/>
      <c r="C48" s="39">
        <f>IF(C43="yes",(C38*'General Info Input'!B23),0)</f>
        <v>0</v>
      </c>
      <c r="D48" s="39">
        <f>IF(D43="yes",(D38*'General Info Input'!C23),0)</f>
        <v>0</v>
      </c>
      <c r="E48" s="39">
        <f>IF(E43="yes",(E38*'General Info Input'!D23),0)</f>
        <v>0</v>
      </c>
      <c r="F48" s="39">
        <f>IF(F43="yes",(F38*'General Info Input'!E23),0)</f>
        <v>0</v>
      </c>
      <c r="G48" s="39">
        <f>IF(G43="yes",(G38*'General Info Input'!F23),0)</f>
        <v>0</v>
      </c>
    </row>
    <row r="49" spans="1:8">
      <c r="A49" s="37" t="s">
        <v>120</v>
      </c>
      <c r="B49" s="37"/>
      <c r="C49" s="39">
        <f>IF(C44="yes",(C39*'General Info Input'!B23),0)</f>
        <v>0</v>
      </c>
      <c r="D49" s="39">
        <f>IF(D44="yes",(D39*'General Info Input'!C23),0)</f>
        <v>0</v>
      </c>
      <c r="E49" s="39">
        <f>IF(E44="yes",(E39*'General Info Input'!D23),0)</f>
        <v>0</v>
      </c>
      <c r="F49" s="39">
        <f>IF(F44="yes",(F39*'General Info Input'!E23),0)</f>
        <v>0</v>
      </c>
      <c r="G49" s="39">
        <f>IF(G44="yes",(G39*'General Info Input'!F23),0)</f>
        <v>0</v>
      </c>
    </row>
    <row r="50" spans="1:8">
      <c r="A50" s="37" t="s">
        <v>121</v>
      </c>
      <c r="B50" s="37"/>
      <c r="C50" s="39">
        <f>IF(C45="yes",(C40*'General Info Input'!B23),0)</f>
        <v>0</v>
      </c>
      <c r="D50" s="39">
        <f>IF(D45="yes",(D40*'General Info Input'!C23),0)</f>
        <v>0</v>
      </c>
      <c r="E50" s="39">
        <f>IF(E45="yes",(E40*'General Info Input'!D23),0)</f>
        <v>0</v>
      </c>
      <c r="F50" s="39">
        <f>IF(F45="yes",(F40*'General Info Input'!E23),0)</f>
        <v>0</v>
      </c>
      <c r="G50" s="39">
        <f>IF(G45="yes",(G40*'General Info Input'!F23),0)</f>
        <v>0</v>
      </c>
    </row>
    <row r="51" spans="1:8">
      <c r="A51" s="37" t="s">
        <v>122</v>
      </c>
      <c r="B51" s="37"/>
      <c r="C51" s="40">
        <f>+SUM(C48:C50)</f>
        <v>0</v>
      </c>
      <c r="D51" s="40">
        <f t="shared" ref="D51:G51" si="7">+SUM(D48:D50)</f>
        <v>0</v>
      </c>
      <c r="E51" s="40">
        <f t="shared" si="7"/>
        <v>0</v>
      </c>
      <c r="F51" s="40">
        <f t="shared" si="7"/>
        <v>0</v>
      </c>
      <c r="G51" s="40">
        <f t="shared" si="7"/>
        <v>0</v>
      </c>
    </row>
    <row r="53" spans="1:8">
      <c r="A53" s="23" t="s">
        <v>126</v>
      </c>
      <c r="B53" s="23"/>
    </row>
    <row r="54" spans="1:8">
      <c r="A54" s="23"/>
      <c r="B54" s="23"/>
    </row>
    <row r="55" spans="1:8">
      <c r="A55" s="23"/>
      <c r="B55" s="23"/>
      <c r="C55" s="117" t="s">
        <v>392</v>
      </c>
      <c r="D55" s="117" t="s">
        <v>393</v>
      </c>
      <c r="E55" s="117" t="s">
        <v>394</v>
      </c>
      <c r="F55" s="117" t="s">
        <v>395</v>
      </c>
      <c r="G55" s="117" t="s">
        <v>396</v>
      </c>
    </row>
    <row r="56" spans="1:8">
      <c r="A56" s="41" t="s">
        <v>215</v>
      </c>
      <c r="B56" s="41"/>
      <c r="C56" s="18"/>
      <c r="D56" s="18"/>
      <c r="E56" s="18"/>
      <c r="F56" s="18"/>
      <c r="G56" s="18"/>
      <c r="H56" s="42"/>
    </row>
    <row r="57" spans="1:8">
      <c r="A57" s="43" t="s">
        <v>217</v>
      </c>
      <c r="B57" s="41"/>
      <c r="C57" s="19" t="s">
        <v>108</v>
      </c>
      <c r="D57" s="19" t="s">
        <v>108</v>
      </c>
      <c r="E57" s="19" t="s">
        <v>108</v>
      </c>
      <c r="F57" s="19" t="s">
        <v>108</v>
      </c>
      <c r="G57" s="19" t="s">
        <v>108</v>
      </c>
      <c r="H57" s="42"/>
    </row>
    <row r="58" spans="1:8">
      <c r="A58" s="43" t="s">
        <v>218</v>
      </c>
      <c r="B58" s="41"/>
      <c r="C58" s="19" t="s">
        <v>108</v>
      </c>
      <c r="D58" s="19" t="s">
        <v>108</v>
      </c>
      <c r="E58" s="19" t="s">
        <v>108</v>
      </c>
      <c r="F58" s="19" t="s">
        <v>108</v>
      </c>
      <c r="G58" s="19" t="s">
        <v>108</v>
      </c>
      <c r="H58" s="42"/>
    </row>
    <row r="59" spans="1:8">
      <c r="A59" s="43" t="s">
        <v>226</v>
      </c>
      <c r="B59" s="41"/>
      <c r="C59" s="19" t="s">
        <v>108</v>
      </c>
      <c r="D59" s="19" t="s">
        <v>108</v>
      </c>
      <c r="E59" s="19" t="s">
        <v>108</v>
      </c>
      <c r="F59" s="19" t="s">
        <v>108</v>
      </c>
      <c r="G59" s="19" t="s">
        <v>108</v>
      </c>
      <c r="H59" s="42"/>
    </row>
    <row r="60" spans="1:8">
      <c r="A60" s="41" t="s">
        <v>216</v>
      </c>
      <c r="B60" s="41"/>
      <c r="C60" s="19" t="s">
        <v>109</v>
      </c>
      <c r="D60" s="19" t="s">
        <v>109</v>
      </c>
      <c r="E60" s="19" t="s">
        <v>109</v>
      </c>
      <c r="F60" s="19" t="s">
        <v>109</v>
      </c>
      <c r="G60" s="19" t="s">
        <v>109</v>
      </c>
      <c r="H60" s="42"/>
    </row>
    <row r="61" spans="1:8">
      <c r="A61" s="41" t="s">
        <v>219</v>
      </c>
      <c r="B61" s="41"/>
      <c r="C61" s="44">
        <v>1</v>
      </c>
      <c r="D61" s="44">
        <v>1</v>
      </c>
      <c r="E61" s="44">
        <v>1</v>
      </c>
      <c r="F61" s="44">
        <v>1</v>
      </c>
      <c r="G61" s="44">
        <v>1</v>
      </c>
      <c r="H61" s="42"/>
    </row>
    <row r="62" spans="1:8">
      <c r="A62" s="41"/>
      <c r="B62" s="41"/>
      <c r="C62" s="41"/>
      <c r="D62" s="41"/>
      <c r="E62" s="41"/>
      <c r="F62" s="41"/>
      <c r="G62" s="41"/>
      <c r="H62" s="42"/>
    </row>
    <row r="63" spans="1:8">
      <c r="A63" s="41" t="s">
        <v>235</v>
      </c>
      <c r="B63" s="41"/>
      <c r="C63" s="41"/>
      <c r="D63" s="41"/>
      <c r="E63" s="41"/>
      <c r="F63" s="41"/>
      <c r="G63" s="41"/>
      <c r="H63" s="42"/>
    </row>
    <row r="64" spans="1:8">
      <c r="A64" s="43" t="s">
        <v>220</v>
      </c>
      <c r="B64" s="41"/>
      <c r="C64" s="33">
        <v>1.56</v>
      </c>
      <c r="D64" s="33">
        <v>1.56</v>
      </c>
      <c r="E64" s="33">
        <v>1.56</v>
      </c>
      <c r="F64" s="33">
        <v>1.56</v>
      </c>
      <c r="G64" s="33">
        <v>1.56</v>
      </c>
      <c r="H64" s="42" t="s">
        <v>225</v>
      </c>
    </row>
    <row r="65" spans="1:8">
      <c r="A65" s="43" t="s">
        <v>221</v>
      </c>
      <c r="B65" s="41"/>
      <c r="C65" s="33">
        <v>2.96</v>
      </c>
      <c r="D65" s="33">
        <v>2.96</v>
      </c>
      <c r="E65" s="33">
        <v>2.96</v>
      </c>
      <c r="F65" s="33">
        <v>2.96</v>
      </c>
      <c r="G65" s="33">
        <v>2.96</v>
      </c>
      <c r="H65" s="42"/>
    </row>
    <row r="66" spans="1:8">
      <c r="A66" s="43" t="s">
        <v>222</v>
      </c>
      <c r="B66" s="41"/>
      <c r="C66" s="33">
        <v>0.64500000000000002</v>
      </c>
      <c r="D66" s="33">
        <v>0.64500000000000002</v>
      </c>
      <c r="E66" s="33">
        <v>0.64500000000000002</v>
      </c>
      <c r="F66" s="33">
        <v>0.64500000000000002</v>
      </c>
      <c r="G66" s="33">
        <v>0.64500000000000002</v>
      </c>
      <c r="H66" s="42"/>
    </row>
    <row r="67" spans="1:8">
      <c r="A67" s="43" t="s">
        <v>224</v>
      </c>
      <c r="B67" s="41"/>
      <c r="C67" s="33">
        <v>0.2271</v>
      </c>
      <c r="D67" s="33">
        <v>0.2271</v>
      </c>
      <c r="E67" s="33">
        <v>0.2271</v>
      </c>
      <c r="F67" s="33">
        <v>0.2271</v>
      </c>
      <c r="G67" s="33">
        <v>0.2271</v>
      </c>
      <c r="H67" s="24"/>
    </row>
    <row r="68" spans="1:8">
      <c r="A68" s="43" t="s">
        <v>223</v>
      </c>
      <c r="B68" s="41"/>
      <c r="C68" s="33">
        <v>0.2271</v>
      </c>
      <c r="D68" s="33">
        <v>0.2271</v>
      </c>
      <c r="E68" s="33">
        <v>0.2271</v>
      </c>
      <c r="F68" s="33">
        <v>0.2271</v>
      </c>
      <c r="G68" s="33">
        <v>0.2271</v>
      </c>
      <c r="H68" s="42"/>
    </row>
    <row r="69" spans="1:8">
      <c r="A69" s="41"/>
      <c r="B69" s="41"/>
      <c r="C69" s="41"/>
      <c r="D69" s="41"/>
      <c r="E69" s="41"/>
      <c r="F69" s="41"/>
      <c r="G69" s="41"/>
      <c r="H69" s="42"/>
    </row>
    <row r="70" spans="1:8">
      <c r="A70" s="41" t="s">
        <v>236</v>
      </c>
      <c r="B70" s="41"/>
      <c r="C70" s="41"/>
      <c r="D70" s="41"/>
      <c r="E70" s="41"/>
      <c r="F70" s="41"/>
      <c r="G70" s="41"/>
      <c r="H70" s="42"/>
    </row>
    <row r="71" spans="1:8">
      <c r="A71" s="43" t="s">
        <v>237</v>
      </c>
      <c r="B71" s="41"/>
      <c r="C71" s="45">
        <v>2.0499999999999998</v>
      </c>
      <c r="D71" s="45">
        <f>C71</f>
        <v>2.0499999999999998</v>
      </c>
      <c r="E71" s="45">
        <f t="shared" ref="E71:G71" si="8">D71</f>
        <v>2.0499999999999998</v>
      </c>
      <c r="F71" s="45">
        <f t="shared" si="8"/>
        <v>2.0499999999999998</v>
      </c>
      <c r="G71" s="45">
        <f t="shared" si="8"/>
        <v>2.0499999999999998</v>
      </c>
      <c r="H71" s="42" t="s">
        <v>240</v>
      </c>
    </row>
    <row r="72" spans="1:8">
      <c r="A72" s="43" t="s">
        <v>238</v>
      </c>
      <c r="B72" s="41"/>
      <c r="C72" s="45">
        <v>3.45</v>
      </c>
      <c r="D72" s="45">
        <f t="shared" ref="D72:G73" si="9">C72</f>
        <v>3.45</v>
      </c>
      <c r="E72" s="45">
        <f t="shared" si="9"/>
        <v>3.45</v>
      </c>
      <c r="F72" s="45">
        <f t="shared" si="9"/>
        <v>3.45</v>
      </c>
      <c r="G72" s="45">
        <f t="shared" si="9"/>
        <v>3.45</v>
      </c>
      <c r="H72" s="42"/>
    </row>
    <row r="73" spans="1:8">
      <c r="A73" s="43" t="s">
        <v>239</v>
      </c>
      <c r="B73" s="41"/>
      <c r="C73" s="45">
        <v>1</v>
      </c>
      <c r="D73" s="45">
        <f t="shared" si="9"/>
        <v>1</v>
      </c>
      <c r="E73" s="45">
        <f t="shared" si="9"/>
        <v>1</v>
      </c>
      <c r="F73" s="45">
        <f t="shared" si="9"/>
        <v>1</v>
      </c>
      <c r="G73" s="45">
        <f t="shared" si="9"/>
        <v>1</v>
      </c>
      <c r="H73" s="42"/>
    </row>
    <row r="74" spans="1:8">
      <c r="A74" s="43"/>
      <c r="B74" s="41"/>
      <c r="C74" s="41"/>
      <c r="D74" s="41"/>
      <c r="E74" s="41"/>
      <c r="F74" s="41"/>
      <c r="G74" s="41"/>
      <c r="H74" s="42"/>
    </row>
    <row r="75" spans="1:8">
      <c r="A75" s="46" t="s">
        <v>303</v>
      </c>
      <c r="B75" s="41"/>
      <c r="C75" s="41"/>
      <c r="D75" s="41"/>
      <c r="E75" s="41"/>
      <c r="F75" s="41"/>
      <c r="G75" s="41"/>
      <c r="H75" s="42"/>
    </row>
    <row r="76" spans="1:8">
      <c r="A76" s="47"/>
      <c r="B76" s="41"/>
      <c r="C76" s="41"/>
      <c r="D76" s="41"/>
      <c r="E76" s="41"/>
      <c r="F76" s="41"/>
      <c r="G76" s="41"/>
      <c r="H76" s="42"/>
    </row>
    <row r="77" spans="1:8">
      <c r="A77" s="43"/>
      <c r="B77" s="15"/>
      <c r="C77" s="117" t="s">
        <v>392</v>
      </c>
      <c r="D77" s="117" t="s">
        <v>393</v>
      </c>
      <c r="E77" s="117" t="s">
        <v>394</v>
      </c>
      <c r="F77" s="117" t="s">
        <v>395</v>
      </c>
      <c r="G77" s="117" t="s">
        <v>396</v>
      </c>
      <c r="H77" s="42"/>
    </row>
    <row r="78" spans="1:8">
      <c r="A78" s="43" t="s">
        <v>11</v>
      </c>
      <c r="B78" s="51"/>
      <c r="C78" s="28">
        <v>0</v>
      </c>
      <c r="D78" s="28">
        <v>0</v>
      </c>
      <c r="E78" s="28">
        <v>0</v>
      </c>
      <c r="F78" s="28">
        <v>0</v>
      </c>
      <c r="G78" s="28">
        <v>0</v>
      </c>
    </row>
    <row r="79" spans="1:8">
      <c r="A79" s="43" t="s">
        <v>12</v>
      </c>
      <c r="B79" s="51"/>
      <c r="C79" s="28">
        <v>20000</v>
      </c>
      <c r="D79" s="28">
        <v>20000</v>
      </c>
      <c r="E79" s="28">
        <v>20000</v>
      </c>
      <c r="F79" s="28">
        <v>20000</v>
      </c>
      <c r="G79" s="28">
        <v>20000</v>
      </c>
    </row>
    <row r="80" spans="1:8">
      <c r="A80" s="43"/>
      <c r="B80" s="41"/>
      <c r="C80" s="41"/>
      <c r="D80" s="41"/>
      <c r="E80" s="41"/>
      <c r="F80" s="41"/>
      <c r="G80" s="41"/>
      <c r="H80" s="42"/>
    </row>
    <row r="81" spans="1:8">
      <c r="A81" s="46" t="s">
        <v>302</v>
      </c>
      <c r="B81" s="41"/>
      <c r="C81" s="41"/>
      <c r="D81" s="41"/>
      <c r="E81" s="41"/>
      <c r="F81" s="41"/>
      <c r="G81" s="41"/>
      <c r="H81" s="42"/>
    </row>
    <row r="82" spans="1:8">
      <c r="A82" s="47"/>
      <c r="B82" s="41"/>
      <c r="C82" s="41"/>
      <c r="D82" s="41"/>
      <c r="E82" s="41"/>
      <c r="F82" s="41"/>
      <c r="G82" s="41"/>
      <c r="H82" s="42"/>
    </row>
    <row r="83" spans="1:8">
      <c r="A83" s="43"/>
      <c r="B83" s="18"/>
      <c r="C83" s="117" t="s">
        <v>392</v>
      </c>
      <c r="D83" s="117" t="s">
        <v>393</v>
      </c>
      <c r="E83" s="117" t="s">
        <v>394</v>
      </c>
      <c r="F83" s="117" t="s">
        <v>395</v>
      </c>
      <c r="G83" s="117" t="s">
        <v>396</v>
      </c>
      <c r="H83" s="42"/>
    </row>
    <row r="84" spans="1:8">
      <c r="A84" s="43" t="s">
        <v>6</v>
      </c>
      <c r="B84" s="51"/>
      <c r="C84" s="28"/>
      <c r="D84" s="28"/>
      <c r="E84" s="28"/>
      <c r="F84" s="28"/>
      <c r="G84" s="28"/>
    </row>
    <row r="85" spans="1:8">
      <c r="A85" s="43" t="s">
        <v>304</v>
      </c>
      <c r="B85" s="51"/>
      <c r="C85" s="28"/>
      <c r="D85" s="28"/>
      <c r="E85" s="28"/>
      <c r="F85" s="28"/>
      <c r="G85" s="28"/>
    </row>
    <row r="86" spans="1:8">
      <c r="A86" s="43" t="s">
        <v>10</v>
      </c>
      <c r="B86" s="51"/>
      <c r="C86" s="28"/>
      <c r="D86" s="28"/>
      <c r="E86" s="28"/>
      <c r="F86" s="28"/>
      <c r="G86" s="28"/>
      <c r="H86" s="42"/>
    </row>
    <row r="87" spans="1:8">
      <c r="A87" s="43"/>
      <c r="B87" s="41"/>
      <c r="C87" s="36"/>
      <c r="D87" s="36"/>
      <c r="E87" s="36"/>
      <c r="F87" s="36"/>
      <c r="G87" s="36"/>
      <c r="H87" s="42"/>
    </row>
  </sheetData>
  <mergeCells count="2">
    <mergeCell ref="F13:G14"/>
    <mergeCell ref="A41:G41"/>
  </mergeCells>
  <pageMargins left="0.7" right="0.7" top="0.75" bottom="0.75" header="0.3" footer="0.3"/>
  <pageSetup scale="47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'Model Calculations'!$A$1:$A$2</xm:f>
          </x14:formula1>
          <xm:sqref>C21 C43:G45 C57:G60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6"/>
  <sheetViews>
    <sheetView topLeftCell="A4" zoomScale="139" zoomScaleNormal="80" zoomScalePageLayoutView="80" workbookViewId="0">
      <selection activeCell="H42" sqref="H42"/>
    </sheetView>
  </sheetViews>
  <sheetFormatPr baseColWidth="10" defaultColWidth="8.83203125" defaultRowHeight="14"/>
  <cols>
    <col min="1" max="1" width="41.1640625" style="24" customWidth="1"/>
    <col min="2" max="2" width="10.1640625" style="24" customWidth="1"/>
    <col min="3" max="4" width="9.6640625" style="24" customWidth="1"/>
    <col min="5" max="5" width="10.1640625" style="24" customWidth="1"/>
    <col min="6" max="7" width="9.83203125" style="24" customWidth="1"/>
    <col min="8" max="16384" width="8.83203125" style="24"/>
  </cols>
  <sheetData>
    <row r="1" spans="1:7">
      <c r="A1" s="23" t="s">
        <v>127</v>
      </c>
    </row>
    <row r="2" spans="1:7">
      <c r="A2" s="23"/>
    </row>
    <row r="3" spans="1:7">
      <c r="A3" s="24" t="s">
        <v>247</v>
      </c>
      <c r="B3" s="48">
        <v>2.5000000000000001E-2</v>
      </c>
      <c r="C3" s="25" t="s">
        <v>195</v>
      </c>
    </row>
    <row r="4" spans="1:7">
      <c r="A4" s="23"/>
    </row>
    <row r="5" spans="1:7">
      <c r="A5" s="24" t="s">
        <v>385</v>
      </c>
    </row>
    <row r="6" spans="1:7">
      <c r="B6" s="15"/>
      <c r="C6" s="3" t="s">
        <v>392</v>
      </c>
      <c r="D6" s="3" t="s">
        <v>393</v>
      </c>
      <c r="E6" s="3" t="s">
        <v>394</v>
      </c>
      <c r="F6" s="3" t="s">
        <v>395</v>
      </c>
      <c r="G6" s="3" t="s">
        <v>396</v>
      </c>
    </row>
    <row r="7" spans="1:7">
      <c r="A7" s="24" t="s">
        <v>134</v>
      </c>
      <c r="B7" s="38"/>
      <c r="C7" s="38">
        <v>19</v>
      </c>
      <c r="D7" s="38">
        <v>21</v>
      </c>
      <c r="E7" s="38">
        <v>23</v>
      </c>
      <c r="F7" s="38">
        <v>24</v>
      </c>
      <c r="G7" s="38">
        <v>24</v>
      </c>
    </row>
    <row r="8" spans="1:7">
      <c r="A8" s="24" t="s">
        <v>128</v>
      </c>
      <c r="B8" s="28"/>
      <c r="C8" s="28">
        <v>53112</v>
      </c>
      <c r="D8" s="49">
        <f>C8*(1+$B$3)</f>
        <v>54439.799999999996</v>
      </c>
      <c r="E8" s="49">
        <f>D8*(1+$B$3)</f>
        <v>55800.794999999991</v>
      </c>
      <c r="F8" s="49">
        <f>E8*(1+$B$3)</f>
        <v>57195.814874999989</v>
      </c>
      <c r="G8" s="49">
        <f>F8*(1+$B$3)</f>
        <v>58625.710246874987</v>
      </c>
    </row>
    <row r="9" spans="1:7">
      <c r="A9" s="24" t="s">
        <v>129</v>
      </c>
      <c r="B9" s="49">
        <f>B7*B8</f>
        <v>0</v>
      </c>
      <c r="C9" s="49">
        <f>+C7*C8</f>
        <v>1009128</v>
      </c>
      <c r="D9" s="49">
        <f t="shared" ref="D9:G9" si="0">+D7*D8</f>
        <v>1143235.7999999998</v>
      </c>
      <c r="E9" s="49">
        <f t="shared" si="0"/>
        <v>1283418.2849999997</v>
      </c>
      <c r="F9" s="49">
        <f t="shared" si="0"/>
        <v>1372699.5569999998</v>
      </c>
      <c r="G9" s="49">
        <f t="shared" si="0"/>
        <v>1407017.0459249998</v>
      </c>
    </row>
    <row r="11" spans="1:7">
      <c r="A11" s="24" t="s">
        <v>130</v>
      </c>
      <c r="B11" s="28"/>
      <c r="C11" s="28">
        <v>20000</v>
      </c>
      <c r="D11" s="28">
        <v>20000</v>
      </c>
      <c r="E11" s="28">
        <v>20000</v>
      </c>
      <c r="F11" s="28">
        <v>20000</v>
      </c>
      <c r="G11" s="28">
        <v>20000</v>
      </c>
    </row>
    <row r="13" spans="1:7">
      <c r="A13" s="24" t="s">
        <v>135</v>
      </c>
      <c r="B13" s="38"/>
      <c r="C13" s="38"/>
      <c r="D13" s="38"/>
      <c r="E13" s="38"/>
      <c r="F13" s="38"/>
      <c r="G13" s="38"/>
    </row>
    <row r="14" spans="1:7">
      <c r="A14" s="24" t="s">
        <v>132</v>
      </c>
      <c r="B14" s="28"/>
      <c r="C14" s="28">
        <v>31360</v>
      </c>
      <c r="D14" s="49">
        <f>C14*(1+$B$3)</f>
        <v>32143.999999999996</v>
      </c>
      <c r="E14" s="49">
        <f>D14*(1+$B$3)</f>
        <v>32947.599999999991</v>
      </c>
      <c r="F14" s="49">
        <f>E14*(1+$B$3)</f>
        <v>33771.289999999986</v>
      </c>
      <c r="G14" s="49">
        <f>F14*(1+$B$3)</f>
        <v>34615.572249999983</v>
      </c>
    </row>
    <row r="15" spans="1:7">
      <c r="A15" s="24" t="s">
        <v>133</v>
      </c>
      <c r="B15" s="49">
        <f>B13*B14</f>
        <v>0</v>
      </c>
      <c r="C15" s="49">
        <f>+C13*C14</f>
        <v>0</v>
      </c>
      <c r="D15" s="49">
        <f t="shared" ref="D15" si="1">+D13*D14</f>
        <v>0</v>
      </c>
      <c r="E15" s="49">
        <f t="shared" ref="E15" si="2">+E13*E14</f>
        <v>0</v>
      </c>
      <c r="F15" s="49">
        <f t="shared" ref="F15" si="3">+F13*F14</f>
        <v>0</v>
      </c>
      <c r="G15" s="49">
        <f t="shared" ref="G15" si="4">+G13*G14</f>
        <v>0</v>
      </c>
    </row>
    <row r="17" spans="1:7">
      <c r="A17" s="24" t="s">
        <v>136</v>
      </c>
      <c r="B17" s="38"/>
      <c r="C17" s="38">
        <v>2</v>
      </c>
      <c r="D17" s="38">
        <v>2</v>
      </c>
      <c r="E17" s="38">
        <v>2</v>
      </c>
      <c r="F17" s="38">
        <v>2</v>
      </c>
      <c r="G17" s="38">
        <v>2</v>
      </c>
    </row>
    <row r="18" spans="1:7">
      <c r="A18" s="24" t="s">
        <v>138</v>
      </c>
      <c r="B18" s="28"/>
      <c r="C18" s="28">
        <v>110000</v>
      </c>
      <c r="D18" s="49">
        <f>C18*(1+$B$3)</f>
        <v>112749.99999999999</v>
      </c>
      <c r="E18" s="49">
        <f>D18*(1+$B$3)</f>
        <v>115568.74999999997</v>
      </c>
      <c r="F18" s="49">
        <f>E18*(1+$B$3)</f>
        <v>118457.96874999996</v>
      </c>
      <c r="G18" s="49">
        <f>F18*(1+$B$3)</f>
        <v>121419.41796874994</v>
      </c>
    </row>
    <row r="19" spans="1:7">
      <c r="A19" s="24" t="s">
        <v>144</v>
      </c>
      <c r="B19" s="49">
        <f>B17*B18</f>
        <v>0</v>
      </c>
      <c r="C19" s="49">
        <f>+C17*C18</f>
        <v>220000</v>
      </c>
      <c r="D19" s="49">
        <f t="shared" ref="D19" si="5">+D17*D18</f>
        <v>225499.99999999997</v>
      </c>
      <c r="E19" s="49">
        <f t="shared" ref="E19" si="6">+E17*E18</f>
        <v>231137.49999999994</v>
      </c>
      <c r="F19" s="49">
        <f t="shared" ref="F19" si="7">+F17*F18</f>
        <v>236915.93749999991</v>
      </c>
      <c r="G19" s="49">
        <f t="shared" ref="G19" si="8">+G17*G18</f>
        <v>242838.83593749988</v>
      </c>
    </row>
    <row r="20" spans="1:7" s="30" customFormat="1">
      <c r="B20" s="50"/>
      <c r="C20" s="50"/>
      <c r="D20" s="50"/>
      <c r="E20" s="50"/>
      <c r="F20" s="50"/>
      <c r="G20" s="50"/>
    </row>
    <row r="21" spans="1:7">
      <c r="A21" s="24" t="s">
        <v>285</v>
      </c>
      <c r="B21" s="38"/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>
      <c r="A22" s="24" t="s">
        <v>286</v>
      </c>
      <c r="B22" s="28"/>
      <c r="C22" s="28">
        <v>0</v>
      </c>
      <c r="D22" s="49">
        <f>C22*(1+$B$3)</f>
        <v>0</v>
      </c>
      <c r="E22" s="49">
        <f>D22*(1+$B$3)</f>
        <v>0</v>
      </c>
      <c r="F22" s="49">
        <f>E22*(1+$B$3)</f>
        <v>0</v>
      </c>
      <c r="G22" s="49">
        <f>F22*(1+$B$3)</f>
        <v>0</v>
      </c>
    </row>
    <row r="23" spans="1:7">
      <c r="A23" s="24" t="s">
        <v>287</v>
      </c>
      <c r="B23" s="49">
        <f>B21*B22</f>
        <v>0</v>
      </c>
      <c r="C23" s="49">
        <f>+C21*C22</f>
        <v>0</v>
      </c>
      <c r="D23" s="49">
        <f t="shared" ref="D23" si="9">+D21*D22</f>
        <v>0</v>
      </c>
      <c r="E23" s="49">
        <f t="shared" ref="E23" si="10">+E21*E22</f>
        <v>0</v>
      </c>
      <c r="F23" s="49">
        <f t="shared" ref="F23" si="11">+F21*F22</f>
        <v>0</v>
      </c>
      <c r="G23" s="49">
        <f t="shared" ref="G23" si="12">+G21*G22</f>
        <v>0</v>
      </c>
    </row>
    <row r="25" spans="1:7">
      <c r="A25" s="24" t="s">
        <v>137</v>
      </c>
      <c r="B25" s="38"/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>
      <c r="A26" s="24" t="s">
        <v>139</v>
      </c>
      <c r="B26" s="28"/>
      <c r="C26" s="28"/>
      <c r="D26" s="49">
        <f>C26*(1+$B$3)</f>
        <v>0</v>
      </c>
      <c r="E26" s="49">
        <f>D26*(1+$B$3)</f>
        <v>0</v>
      </c>
      <c r="F26" s="49">
        <f>E26*(1+$B$3)</f>
        <v>0</v>
      </c>
      <c r="G26" s="49">
        <f>F26*(1+$B$3)</f>
        <v>0</v>
      </c>
    </row>
    <row r="27" spans="1:7">
      <c r="A27" s="24" t="s">
        <v>145</v>
      </c>
      <c r="B27" s="49">
        <f>B25*B26</f>
        <v>0</v>
      </c>
      <c r="C27" s="49">
        <f>+C25*C26</f>
        <v>0</v>
      </c>
      <c r="D27" s="49">
        <f t="shared" ref="D27" si="13">+D25*D26</f>
        <v>0</v>
      </c>
      <c r="E27" s="49">
        <f t="shared" ref="E27" si="14">+E25*E26</f>
        <v>0</v>
      </c>
      <c r="F27" s="49">
        <f t="shared" ref="F27" si="15">+F25*F26</f>
        <v>0</v>
      </c>
      <c r="G27" s="49">
        <f t="shared" ref="G27" si="16">+G25*G26</f>
        <v>0</v>
      </c>
    </row>
    <row r="29" spans="1:7">
      <c r="A29" s="24" t="s">
        <v>140</v>
      </c>
      <c r="B29" s="29">
        <f>+SUM(B9,B11,B15,B19,B23,B27)</f>
        <v>0</v>
      </c>
      <c r="C29" s="29">
        <f t="shared" ref="C29:G29" si="17">+SUM(C9,C11,C15,C19,C23,C27)</f>
        <v>1249128</v>
      </c>
      <c r="D29" s="29">
        <f t="shared" si="17"/>
        <v>1388735.7999999998</v>
      </c>
      <c r="E29" s="29">
        <f t="shared" si="17"/>
        <v>1534555.7849999997</v>
      </c>
      <c r="F29" s="29">
        <f t="shared" si="17"/>
        <v>1629615.4944999998</v>
      </c>
      <c r="G29" s="29">
        <f t="shared" si="17"/>
        <v>1669855.8818624998</v>
      </c>
    </row>
    <row r="31" spans="1:7">
      <c r="A31" s="23" t="s">
        <v>141</v>
      </c>
    </row>
    <row r="33" spans="1:13">
      <c r="A33" s="24" t="s">
        <v>385</v>
      </c>
    </row>
    <row r="34" spans="1:13">
      <c r="B34" s="15" t="s">
        <v>188</v>
      </c>
      <c r="C34" s="3" t="s">
        <v>76</v>
      </c>
      <c r="D34" s="3" t="s">
        <v>77</v>
      </c>
      <c r="E34" s="3" t="s">
        <v>78</v>
      </c>
      <c r="F34" s="3" t="s">
        <v>79</v>
      </c>
      <c r="G34" s="3" t="s">
        <v>80</v>
      </c>
    </row>
    <row r="35" spans="1:13">
      <c r="A35" s="24" t="s">
        <v>142</v>
      </c>
      <c r="B35" s="38"/>
      <c r="C35" s="38">
        <v>3</v>
      </c>
      <c r="D35" s="38">
        <v>4</v>
      </c>
      <c r="E35" s="38">
        <v>4</v>
      </c>
      <c r="F35" s="38">
        <v>4</v>
      </c>
      <c r="G35" s="38">
        <v>4</v>
      </c>
    </row>
    <row r="36" spans="1:13">
      <c r="A36" s="24" t="s">
        <v>143</v>
      </c>
      <c r="B36" s="28"/>
      <c r="C36" s="28">
        <v>31360</v>
      </c>
      <c r="D36" s="49">
        <f>C36*(1+$B$3)</f>
        <v>32143.999999999996</v>
      </c>
      <c r="E36" s="49">
        <f>D36*(1+$B$3)</f>
        <v>32947.599999999991</v>
      </c>
      <c r="F36" s="49">
        <f>E36*(1+$B$3)</f>
        <v>33771.289999999986</v>
      </c>
      <c r="G36" s="49">
        <f>F36*(1+$B$3)</f>
        <v>34615.572249999983</v>
      </c>
    </row>
    <row r="37" spans="1:13">
      <c r="A37" s="24" t="s">
        <v>146</v>
      </c>
      <c r="B37" s="49">
        <f>B35*B36</f>
        <v>0</v>
      </c>
      <c r="C37" s="49">
        <f>+C35*C36</f>
        <v>94080</v>
      </c>
      <c r="D37" s="49">
        <f t="shared" ref="D37" si="18">+D35*D36</f>
        <v>128575.99999999999</v>
      </c>
      <c r="E37" s="49">
        <f t="shared" ref="E37" si="19">+E35*E36</f>
        <v>131790.39999999997</v>
      </c>
      <c r="F37" s="49">
        <f t="shared" ref="F37" si="20">+F35*F36</f>
        <v>135085.15999999995</v>
      </c>
      <c r="G37" s="49">
        <f t="shared" ref="G37" si="21">+G35*G36</f>
        <v>138462.28899999993</v>
      </c>
    </row>
    <row r="39" spans="1:13">
      <c r="A39" s="24" t="s">
        <v>147</v>
      </c>
      <c r="B39" s="38"/>
      <c r="C39" s="38">
        <v>2</v>
      </c>
      <c r="D39" s="38">
        <v>2</v>
      </c>
      <c r="E39" s="38">
        <v>2</v>
      </c>
      <c r="F39" s="38">
        <v>2</v>
      </c>
      <c r="G39" s="38">
        <v>2</v>
      </c>
    </row>
    <row r="40" spans="1:13">
      <c r="A40" s="24" t="s">
        <v>148</v>
      </c>
      <c r="B40" s="28"/>
      <c r="C40" s="28">
        <v>31360</v>
      </c>
      <c r="D40" s="49">
        <f>C40*(1+$B$3)</f>
        <v>32143.999999999996</v>
      </c>
      <c r="E40" s="49">
        <f>D40*(1+$B$3)</f>
        <v>32947.599999999991</v>
      </c>
      <c r="F40" s="49">
        <f>E40*(1+$B$3)</f>
        <v>33771.289999999986</v>
      </c>
      <c r="G40" s="49">
        <f>F40*(1+$B$3)</f>
        <v>34615.572249999983</v>
      </c>
    </row>
    <row r="41" spans="1:13">
      <c r="A41" s="24" t="s">
        <v>149</v>
      </c>
      <c r="B41" s="49">
        <f>B40*B39</f>
        <v>0</v>
      </c>
      <c r="C41" s="49">
        <f>+C39*C40</f>
        <v>62720</v>
      </c>
      <c r="D41" s="49">
        <f t="shared" ref="D41" si="22">+D39*D40</f>
        <v>64287.999999999993</v>
      </c>
      <c r="E41" s="49">
        <f t="shared" ref="E41" si="23">+E39*E40</f>
        <v>65895.199999999983</v>
      </c>
      <c r="F41" s="49">
        <f t="shared" ref="F41" si="24">+F39*F40</f>
        <v>67542.579999999973</v>
      </c>
      <c r="G41" s="49">
        <f t="shared" ref="G41" si="25">+G39*G40</f>
        <v>69231.144499999966</v>
      </c>
    </row>
    <row r="43" spans="1:13">
      <c r="A43" s="24" t="s">
        <v>150</v>
      </c>
      <c r="B43" s="38"/>
      <c r="C43" s="38">
        <v>0</v>
      </c>
      <c r="D43" s="38">
        <v>0</v>
      </c>
      <c r="E43" s="38">
        <v>0</v>
      </c>
      <c r="F43" s="38">
        <v>0</v>
      </c>
      <c r="G43" s="38">
        <v>0</v>
      </c>
    </row>
    <row r="44" spans="1:13">
      <c r="A44" s="24" t="s">
        <v>151</v>
      </c>
      <c r="B44" s="28"/>
      <c r="C44" s="28"/>
      <c r="D44" s="49">
        <f>C44*(1+$B$3)</f>
        <v>0</v>
      </c>
      <c r="E44" s="49">
        <f>D44*(1+$B$3)</f>
        <v>0</v>
      </c>
      <c r="F44" s="49">
        <f>E44*(1+$B$3)</f>
        <v>0</v>
      </c>
      <c r="G44" s="49">
        <f>F44*(1+$B$3)</f>
        <v>0</v>
      </c>
      <c r="L44" s="24">
        <f>22*8</f>
        <v>176</v>
      </c>
      <c r="M44" s="24">
        <f>L44*245</f>
        <v>43120</v>
      </c>
    </row>
    <row r="45" spans="1:13">
      <c r="A45" s="24" t="s">
        <v>152</v>
      </c>
      <c r="B45" s="49">
        <f>B43*B44</f>
        <v>0</v>
      </c>
      <c r="C45" s="49">
        <f>+C43*C44</f>
        <v>0</v>
      </c>
      <c r="D45" s="49">
        <f t="shared" ref="D45" si="26">+D43*D44</f>
        <v>0</v>
      </c>
      <c r="E45" s="49">
        <f t="shared" ref="E45" si="27">+E43*E44</f>
        <v>0</v>
      </c>
      <c r="F45" s="49">
        <f t="shared" ref="F45" si="28">+F43*F44</f>
        <v>0</v>
      </c>
      <c r="G45" s="49">
        <f t="shared" ref="G45" si="29">+G43*G44</f>
        <v>0</v>
      </c>
    </row>
    <row r="47" spans="1:13">
      <c r="A47" s="24" t="s">
        <v>153</v>
      </c>
      <c r="B47" s="38"/>
      <c r="C47" s="38">
        <v>3</v>
      </c>
      <c r="D47" s="38">
        <v>3</v>
      </c>
      <c r="E47" s="38">
        <v>3</v>
      </c>
      <c r="F47" s="38">
        <v>3</v>
      </c>
      <c r="G47" s="38">
        <v>3</v>
      </c>
    </row>
    <row r="48" spans="1:13">
      <c r="A48" s="24" t="s">
        <v>154</v>
      </c>
      <c r="B48" s="28"/>
      <c r="C48" s="28">
        <v>43120</v>
      </c>
      <c r="D48" s="49">
        <f>C48*(1+$B$3)</f>
        <v>44197.999999999993</v>
      </c>
      <c r="E48" s="49">
        <f>D48*(1+$B$3)</f>
        <v>45302.94999999999</v>
      </c>
      <c r="F48" s="49">
        <f>E48*(1+$B$3)</f>
        <v>46435.523749999986</v>
      </c>
      <c r="G48" s="49">
        <f>F48*(1+$B$3)</f>
        <v>47596.411843749978</v>
      </c>
    </row>
    <row r="49" spans="1:14">
      <c r="A49" s="24" t="s">
        <v>155</v>
      </c>
      <c r="B49" s="49">
        <f>B47*B48</f>
        <v>0</v>
      </c>
      <c r="C49" s="49">
        <f>+C47*C48</f>
        <v>129360</v>
      </c>
      <c r="D49" s="49">
        <f t="shared" ref="D49" si="30">+D47*D48</f>
        <v>132593.99999999997</v>
      </c>
      <c r="E49" s="49">
        <f t="shared" ref="E49" si="31">+E47*E48</f>
        <v>135908.84999999998</v>
      </c>
      <c r="F49" s="49">
        <f t="shared" ref="F49" si="32">+F47*F48</f>
        <v>139306.57124999995</v>
      </c>
      <c r="G49" s="49">
        <f t="shared" ref="G49" si="33">+G47*G48</f>
        <v>142789.23553124993</v>
      </c>
    </row>
    <row r="50" spans="1:14" s="41" customFormat="1">
      <c r="B50" s="51"/>
      <c r="C50" s="51"/>
      <c r="D50" s="51"/>
      <c r="E50" s="51"/>
      <c r="F50" s="51"/>
      <c r="G50" s="51"/>
    </row>
    <row r="51" spans="1:14">
      <c r="A51" s="24" t="s">
        <v>290</v>
      </c>
      <c r="B51" s="38"/>
      <c r="C51" s="38">
        <v>0</v>
      </c>
      <c r="D51" s="38">
        <v>0</v>
      </c>
      <c r="E51" s="38">
        <v>0</v>
      </c>
      <c r="F51" s="38">
        <v>0</v>
      </c>
      <c r="G51" s="38">
        <v>0</v>
      </c>
    </row>
    <row r="52" spans="1:14">
      <c r="A52" s="24" t="s">
        <v>291</v>
      </c>
      <c r="B52" s="28"/>
      <c r="C52" s="28">
        <v>0</v>
      </c>
      <c r="D52" s="49">
        <f>C52*(1+$B$3)</f>
        <v>0</v>
      </c>
      <c r="E52" s="49">
        <f>D52*(1+$B$3)</f>
        <v>0</v>
      </c>
      <c r="F52" s="49">
        <f>E52*(1+$B$3)</f>
        <v>0</v>
      </c>
      <c r="G52" s="49">
        <f>F52*(1+$B$3)</f>
        <v>0</v>
      </c>
    </row>
    <row r="53" spans="1:14">
      <c r="A53" s="24" t="s">
        <v>292</v>
      </c>
      <c r="B53" s="49">
        <f>B51*B52</f>
        <v>0</v>
      </c>
      <c r="C53" s="49">
        <f>+C51*C52</f>
        <v>0</v>
      </c>
      <c r="D53" s="49">
        <f t="shared" ref="D53" si="34">+D51*D52</f>
        <v>0</v>
      </c>
      <c r="E53" s="49">
        <f t="shared" ref="E53" si="35">+E51*E52</f>
        <v>0</v>
      </c>
      <c r="F53" s="49">
        <f t="shared" ref="F53" si="36">+F51*F52</f>
        <v>0</v>
      </c>
      <c r="G53" s="49">
        <f t="shared" ref="G53" si="37">+G51*G52</f>
        <v>0</v>
      </c>
    </row>
    <row r="54" spans="1:14">
      <c r="L54" s="24">
        <v>21</v>
      </c>
    </row>
    <row r="55" spans="1:14">
      <c r="A55" s="24" t="s">
        <v>156</v>
      </c>
      <c r="B55" s="38"/>
      <c r="C55" s="38">
        <v>2</v>
      </c>
      <c r="D55" s="38">
        <v>2</v>
      </c>
      <c r="E55" s="38">
        <v>2</v>
      </c>
      <c r="F55" s="38">
        <v>2</v>
      </c>
      <c r="G55" s="38">
        <v>2</v>
      </c>
      <c r="L55" s="24">
        <v>16</v>
      </c>
    </row>
    <row r="56" spans="1:14">
      <c r="A56" s="24" t="s">
        <v>157</v>
      </c>
      <c r="B56" s="28"/>
      <c r="C56" s="28">
        <v>36260</v>
      </c>
      <c r="D56" s="49">
        <f>C56*(1+$B$3)</f>
        <v>37166.5</v>
      </c>
      <c r="E56" s="49">
        <f>D56*(1+$B$3)</f>
        <v>38095.662499999999</v>
      </c>
      <c r="F56" s="49">
        <f>E56*(1+$B$3)</f>
        <v>39048.054062499992</v>
      </c>
      <c r="G56" s="49">
        <f>F56*(1+$B$3)</f>
        <v>40024.255414062485</v>
      </c>
      <c r="L56" s="24">
        <f>AVERAGE(L54:L55)</f>
        <v>18.5</v>
      </c>
      <c r="M56" s="24">
        <f>L56*8</f>
        <v>148</v>
      </c>
      <c r="N56" s="24">
        <f>M56*245</f>
        <v>36260</v>
      </c>
    </row>
    <row r="57" spans="1:14">
      <c r="A57" s="24" t="s">
        <v>158</v>
      </c>
      <c r="B57" s="49">
        <f>B55*B56</f>
        <v>0</v>
      </c>
      <c r="C57" s="49">
        <f>+C55*C56</f>
        <v>72520</v>
      </c>
      <c r="D57" s="49">
        <f t="shared" ref="D57" si="38">+D55*D56</f>
        <v>74333</v>
      </c>
      <c r="E57" s="49">
        <f t="shared" ref="E57" si="39">+E55*E56</f>
        <v>76191.324999999997</v>
      </c>
      <c r="F57" s="49">
        <f t="shared" ref="F57" si="40">+F55*F56</f>
        <v>78096.108124999984</v>
      </c>
      <c r="G57" s="49">
        <f t="shared" ref="G57" si="41">+G55*G56</f>
        <v>80048.51082812497</v>
      </c>
    </row>
    <row r="59" spans="1:14">
      <c r="A59" s="24" t="s">
        <v>159</v>
      </c>
      <c r="B59" s="29">
        <f t="shared" ref="B59:G59" si="42">+SUM(B37,B41,B45,B49,B57)</f>
        <v>0</v>
      </c>
      <c r="C59" s="29">
        <f t="shared" si="42"/>
        <v>358680</v>
      </c>
      <c r="D59" s="29">
        <f t="shared" si="42"/>
        <v>399790.99999999994</v>
      </c>
      <c r="E59" s="29">
        <f t="shared" si="42"/>
        <v>409785.77499999997</v>
      </c>
      <c r="F59" s="29">
        <f t="shared" si="42"/>
        <v>420030.41937499988</v>
      </c>
      <c r="G59" s="29">
        <f t="shared" si="42"/>
        <v>430531.17985937477</v>
      </c>
    </row>
    <row r="61" spans="1:14">
      <c r="A61" s="23" t="s">
        <v>160</v>
      </c>
    </row>
    <row r="63" spans="1:14">
      <c r="A63" s="24" t="s">
        <v>170</v>
      </c>
    </row>
    <row r="64" spans="1:14">
      <c r="B64" s="52" t="s">
        <v>171</v>
      </c>
      <c r="C64" s="52" t="s">
        <v>172</v>
      </c>
    </row>
    <row r="65" spans="1:8">
      <c r="A65" s="37" t="s">
        <v>161</v>
      </c>
      <c r="B65" s="38" t="s">
        <v>175</v>
      </c>
      <c r="C65" s="38" t="s">
        <v>108</v>
      </c>
    </row>
    <row r="66" spans="1:8">
      <c r="A66" s="37" t="s">
        <v>162</v>
      </c>
      <c r="B66" s="38" t="s">
        <v>175</v>
      </c>
      <c r="C66" s="38" t="s">
        <v>108</v>
      </c>
    </row>
    <row r="67" spans="1:8">
      <c r="A67" s="37" t="s">
        <v>163</v>
      </c>
      <c r="B67" s="38" t="s">
        <v>175</v>
      </c>
      <c r="C67" s="38" t="s">
        <v>108</v>
      </c>
    </row>
    <row r="68" spans="1:8">
      <c r="A68" s="37" t="s">
        <v>289</v>
      </c>
      <c r="B68" s="38" t="s">
        <v>175</v>
      </c>
      <c r="C68" s="38" t="s">
        <v>108</v>
      </c>
    </row>
    <row r="69" spans="1:8">
      <c r="A69" s="37" t="s">
        <v>164</v>
      </c>
      <c r="B69" s="38" t="s">
        <v>175</v>
      </c>
      <c r="C69" s="38" t="s">
        <v>108</v>
      </c>
    </row>
    <row r="70" spans="1:8">
      <c r="A70" s="37" t="s">
        <v>165</v>
      </c>
      <c r="B70" s="38" t="s">
        <v>175</v>
      </c>
      <c r="C70" s="38" t="s">
        <v>108</v>
      </c>
    </row>
    <row r="71" spans="1:8">
      <c r="A71" s="37" t="s">
        <v>166</v>
      </c>
      <c r="B71" s="38" t="s">
        <v>175</v>
      </c>
      <c r="C71" s="38" t="s">
        <v>108</v>
      </c>
    </row>
    <row r="72" spans="1:8">
      <c r="A72" s="37" t="s">
        <v>167</v>
      </c>
      <c r="B72" s="38" t="s">
        <v>175</v>
      </c>
      <c r="C72" s="38" t="s">
        <v>108</v>
      </c>
    </row>
    <row r="73" spans="1:8">
      <c r="A73" s="37" t="s">
        <v>168</v>
      </c>
      <c r="B73" s="38" t="s">
        <v>175</v>
      </c>
      <c r="C73" s="38" t="s">
        <v>108</v>
      </c>
    </row>
    <row r="74" spans="1:8">
      <c r="A74" s="37" t="s">
        <v>293</v>
      </c>
      <c r="B74" s="38" t="s">
        <v>175</v>
      </c>
      <c r="C74" s="38" t="s">
        <v>108</v>
      </c>
    </row>
    <row r="75" spans="1:8">
      <c r="A75" s="37" t="s">
        <v>169</v>
      </c>
      <c r="B75" s="38" t="s">
        <v>175</v>
      </c>
      <c r="C75" s="38" t="s">
        <v>108</v>
      </c>
    </row>
    <row r="76" spans="1:8">
      <c r="A76" s="37"/>
    </row>
    <row r="77" spans="1:8">
      <c r="B77" s="15" t="s">
        <v>188</v>
      </c>
      <c r="C77" s="3" t="s">
        <v>76</v>
      </c>
      <c r="D77" s="3" t="s">
        <v>77</v>
      </c>
      <c r="E77" s="3" t="s">
        <v>78</v>
      </c>
      <c r="F77" s="3" t="s">
        <v>79</v>
      </c>
      <c r="G77" s="3" t="s">
        <v>80</v>
      </c>
    </row>
    <row r="78" spans="1:8">
      <c r="A78" s="24" t="s">
        <v>254</v>
      </c>
      <c r="B78" s="53"/>
      <c r="C78" s="53">
        <v>6000</v>
      </c>
      <c r="D78" s="49">
        <f>+C78*(1+0.1)</f>
        <v>6600.0000000000009</v>
      </c>
      <c r="E78" s="49">
        <f t="shared" ref="E78:G78" si="43">+D78*(1+0.1)</f>
        <v>7260.0000000000018</v>
      </c>
      <c r="F78" s="49">
        <f t="shared" si="43"/>
        <v>7986.0000000000027</v>
      </c>
      <c r="G78" s="49">
        <f t="shared" si="43"/>
        <v>8784.600000000004</v>
      </c>
      <c r="H78" s="25" t="s">
        <v>200</v>
      </c>
    </row>
    <row r="80" spans="1:8">
      <c r="A80" s="24" t="s">
        <v>178</v>
      </c>
    </row>
    <row r="81" spans="1:8">
      <c r="A81" s="37" t="s">
        <v>173</v>
      </c>
      <c r="B81" s="54">
        <v>0.14430000000000001</v>
      </c>
      <c r="C81" s="54">
        <v>0.1628</v>
      </c>
      <c r="D81" s="54">
        <v>0.18129999999999999</v>
      </c>
      <c r="E81" s="54">
        <v>0.191</v>
      </c>
      <c r="F81" s="54">
        <f>E81</f>
        <v>0.191</v>
      </c>
      <c r="G81" s="55">
        <f>F81</f>
        <v>0.191</v>
      </c>
      <c r="H81" s="25" t="s">
        <v>179</v>
      </c>
    </row>
    <row r="82" spans="1:8">
      <c r="A82" s="37" t="s">
        <v>174</v>
      </c>
      <c r="B82" s="55">
        <v>0.16600000000000001</v>
      </c>
      <c r="C82" s="55">
        <v>0.182</v>
      </c>
      <c r="D82" s="55">
        <v>0.19900000000000001</v>
      </c>
      <c r="E82" s="55">
        <v>0.20399999999999999</v>
      </c>
      <c r="F82" s="55">
        <f>+E82</f>
        <v>0.20399999999999999</v>
      </c>
      <c r="G82" s="55">
        <f>+F82</f>
        <v>0.20399999999999999</v>
      </c>
      <c r="H82" s="25" t="s">
        <v>180</v>
      </c>
    </row>
    <row r="83" spans="1:8">
      <c r="A83" s="37" t="s">
        <v>175</v>
      </c>
      <c r="B83" s="48">
        <v>0.05</v>
      </c>
      <c r="C83" s="48">
        <v>0.05</v>
      </c>
      <c r="D83" s="48">
        <f>+C83</f>
        <v>0.05</v>
      </c>
      <c r="E83" s="48">
        <f t="shared" ref="E83:G83" si="44">+D83</f>
        <v>0.05</v>
      </c>
      <c r="F83" s="48">
        <f t="shared" si="44"/>
        <v>0.05</v>
      </c>
      <c r="G83" s="48">
        <f t="shared" si="44"/>
        <v>0.05</v>
      </c>
      <c r="H83" s="25" t="s">
        <v>181</v>
      </c>
    </row>
    <row r="84" spans="1:8">
      <c r="A84" s="37" t="s">
        <v>176</v>
      </c>
      <c r="B84" s="44"/>
      <c r="C84" s="44"/>
      <c r="D84" s="44"/>
      <c r="E84" s="44"/>
      <c r="F84" s="44"/>
      <c r="G84" s="44"/>
      <c r="H84" s="25" t="s">
        <v>387</v>
      </c>
    </row>
    <row r="86" spans="1:8">
      <c r="A86" s="23" t="s">
        <v>246</v>
      </c>
    </row>
    <row r="88" spans="1:8">
      <c r="A88" s="24" t="s">
        <v>253</v>
      </c>
      <c r="B88" s="48">
        <v>0.03</v>
      </c>
      <c r="C88" s="25" t="s">
        <v>248</v>
      </c>
    </row>
    <row r="90" spans="1:8">
      <c r="A90" s="24" t="s">
        <v>249</v>
      </c>
    </row>
    <row r="91" spans="1:8">
      <c r="B91" s="15" t="s">
        <v>188</v>
      </c>
    </row>
    <row r="92" spans="1:8">
      <c r="A92" s="24" t="s">
        <v>63</v>
      </c>
      <c r="B92" s="28">
        <v>236000</v>
      </c>
    </row>
    <row r="93" spans="1:8">
      <c r="A93" s="24" t="s">
        <v>64</v>
      </c>
      <c r="B93" s="28">
        <v>20000</v>
      </c>
    </row>
    <row r="94" spans="1:8">
      <c r="A94" s="24" t="s">
        <v>20</v>
      </c>
      <c r="B94" s="28">
        <v>77800</v>
      </c>
    </row>
    <row r="95" spans="1:8">
      <c r="A95" s="24" t="s">
        <v>21</v>
      </c>
      <c r="B95" s="28">
        <v>0</v>
      </c>
    </row>
    <row r="96" spans="1:8">
      <c r="A96" s="24" t="s">
        <v>53</v>
      </c>
      <c r="B96" s="28">
        <v>0</v>
      </c>
    </row>
    <row r="98" spans="1:11">
      <c r="A98" s="24" t="s">
        <v>250</v>
      </c>
    </row>
    <row r="99" spans="1:11">
      <c r="C99" s="56" t="s">
        <v>262</v>
      </c>
      <c r="D99" s="56" t="s">
        <v>263</v>
      </c>
      <c r="F99" s="3" t="s">
        <v>392</v>
      </c>
      <c r="G99" s="3" t="s">
        <v>393</v>
      </c>
      <c r="H99" s="3" t="s">
        <v>394</v>
      </c>
      <c r="I99" s="3" t="s">
        <v>395</v>
      </c>
      <c r="J99" s="3" t="s">
        <v>396</v>
      </c>
    </row>
    <row r="100" spans="1:11">
      <c r="A100" s="24" t="s">
        <v>63</v>
      </c>
      <c r="B100" s="38" t="s">
        <v>252</v>
      </c>
      <c r="C100" s="28">
        <v>0</v>
      </c>
      <c r="D100" s="28">
        <v>50000</v>
      </c>
      <c r="F100" s="49">
        <f>IF($B100="per student",$C100*'General Info Input'!B$19,$D100)</f>
        <v>50000</v>
      </c>
      <c r="G100" s="49">
        <f>IF($B100="per student",$C100*'General Info Input'!C$19,'Expense Input'!F100*(1+'Expense Input'!$B$88))</f>
        <v>51500</v>
      </c>
      <c r="H100" s="49">
        <f>IF($B100="per student",$C100*'General Info Input'!D$19,'Expense Input'!G100*(1+'Expense Input'!$B$88))</f>
        <v>53045</v>
      </c>
      <c r="I100" s="49">
        <f>IF($B100="per student",$C100*'General Info Input'!E$19,'Expense Input'!H100*(1+'Expense Input'!$B$88))</f>
        <v>54636.35</v>
      </c>
      <c r="J100" s="49">
        <f>IF($B100="per student",$C100*'General Info Input'!F$19,'Expense Input'!I100*(1+'Expense Input'!$B$88))</f>
        <v>56275.440499999997</v>
      </c>
      <c r="K100" s="25" t="s">
        <v>255</v>
      </c>
    </row>
    <row r="101" spans="1:11">
      <c r="A101" s="24" t="s">
        <v>64</v>
      </c>
      <c r="B101" s="38" t="s">
        <v>252</v>
      </c>
      <c r="C101" s="28" t="str">
        <f t="shared" ref="C101" si="45">IF(B101="flat amount","n/a","")</f>
        <v>n/a</v>
      </c>
      <c r="D101" s="28">
        <v>20000</v>
      </c>
      <c r="F101" s="49">
        <f>IF($B101="per student",$C101*'General Info Input'!B$19,$D101)</f>
        <v>20000</v>
      </c>
      <c r="G101" s="49">
        <f>IF($B101="per student",$C101*'General Info Input'!C$19,'Expense Input'!F101*(1+'Expense Input'!$B$88))</f>
        <v>20600</v>
      </c>
      <c r="H101" s="49">
        <f>IF($B101="per student",$C101*'General Info Input'!D$19,'Expense Input'!G101*(1+'Expense Input'!$B$88))</f>
        <v>21218</v>
      </c>
      <c r="I101" s="49">
        <f>IF($B101="per student",$C101*'General Info Input'!E$19,'Expense Input'!H101*(1+'Expense Input'!$B$88))</f>
        <v>21854.54</v>
      </c>
      <c r="J101" s="49">
        <f>IF($B101="per student",$C101*'General Info Input'!F$19,'Expense Input'!I101*(1+'Expense Input'!$B$88))</f>
        <v>22510.176200000002</v>
      </c>
    </row>
    <row r="102" spans="1:11">
      <c r="A102" s="24" t="s">
        <v>20</v>
      </c>
      <c r="B102" s="38" t="s">
        <v>252</v>
      </c>
      <c r="C102" s="28" t="s">
        <v>398</v>
      </c>
      <c r="D102" s="28">
        <v>80000</v>
      </c>
      <c r="F102" s="49">
        <f>IF($B102="per student",$C102*'General Info Input'!B$19,$D102)</f>
        <v>80000</v>
      </c>
      <c r="G102" s="49">
        <f>IF($B102="per student",$C102*'General Info Input'!C$19,'Expense Input'!F102*(1+'Expense Input'!$B$88))</f>
        <v>82400</v>
      </c>
      <c r="H102" s="49">
        <f>IF($B102="per student",$C102*'General Info Input'!D$19,'Expense Input'!G102*(1+'Expense Input'!$B$88))</f>
        <v>84872</v>
      </c>
      <c r="I102" s="49">
        <f>IF($B102="per student",$C102*'General Info Input'!E$19,'Expense Input'!H102*(1+'Expense Input'!$B$88))</f>
        <v>87418.16</v>
      </c>
      <c r="J102" s="49">
        <f>IF($B102="per student",$C102*'General Info Input'!F$19,'Expense Input'!I102*(1+'Expense Input'!$B$88))</f>
        <v>90040.704800000007</v>
      </c>
    </row>
    <row r="103" spans="1:11">
      <c r="A103" s="24" t="s">
        <v>21</v>
      </c>
      <c r="B103" s="38" t="s">
        <v>252</v>
      </c>
      <c r="C103" s="28" t="str">
        <f t="shared" ref="C103:C104" si="46">IF(B103="flat amount","n/a","")</f>
        <v>n/a</v>
      </c>
      <c r="D103" s="28">
        <v>0</v>
      </c>
      <c r="F103" s="49">
        <f>IF($B103="per student",$C103*'General Info Input'!B$19,$D103)</f>
        <v>0</v>
      </c>
      <c r="G103" s="49">
        <f>IF($B103="per student",$C103*'General Info Input'!C$19,'Expense Input'!F103*(1+'Expense Input'!$B$88))</f>
        <v>0</v>
      </c>
      <c r="H103" s="49">
        <f>IF($B103="per student",$C103*'General Info Input'!D$19,'Expense Input'!G103*(1+'Expense Input'!$B$88))</f>
        <v>0</v>
      </c>
      <c r="I103" s="49">
        <f>IF($B103="per student",$C103*'General Info Input'!E$19,'Expense Input'!H103*(1+'Expense Input'!$B$88))</f>
        <v>0</v>
      </c>
      <c r="J103" s="49">
        <f>IF($B103="per student",$C103*'General Info Input'!F$19,'Expense Input'!I103*(1+'Expense Input'!$B$88))</f>
        <v>0</v>
      </c>
    </row>
    <row r="104" spans="1:11">
      <c r="A104" s="24" t="s">
        <v>53</v>
      </c>
      <c r="B104" s="38" t="s">
        <v>252</v>
      </c>
      <c r="C104" s="28" t="str">
        <f t="shared" si="46"/>
        <v>n/a</v>
      </c>
      <c r="D104" s="28">
        <v>0</v>
      </c>
      <c r="F104" s="49">
        <f>IF($B104="per student",$C104*'General Info Input'!B$19,$D104)</f>
        <v>0</v>
      </c>
      <c r="G104" s="49">
        <f>IF($B104="per student",$C104*'General Info Input'!C$19,'Expense Input'!F104*(1+'Expense Input'!$B$88))</f>
        <v>0</v>
      </c>
      <c r="H104" s="49">
        <f>IF($B104="per student",$C104*'General Info Input'!D$19,'Expense Input'!G104*(1+'Expense Input'!$B$88))</f>
        <v>0</v>
      </c>
      <c r="I104" s="49">
        <f>IF($B104="per student",$C104*'General Info Input'!E$19,'Expense Input'!H104*(1+'Expense Input'!$B$88))</f>
        <v>0</v>
      </c>
      <c r="J104" s="49">
        <f>IF($B104="per student",$C104*'General Info Input'!F$19,'Expense Input'!I104*(1+'Expense Input'!$B$88))</f>
        <v>0</v>
      </c>
    </row>
    <row r="106" spans="1:11">
      <c r="A106" s="23" t="s">
        <v>256</v>
      </c>
    </row>
    <row r="108" spans="1:11">
      <c r="A108" s="24" t="s">
        <v>268</v>
      </c>
    </row>
    <row r="109" spans="1:11">
      <c r="B109" s="15" t="s">
        <v>397</v>
      </c>
    </row>
    <row r="110" spans="1:11">
      <c r="A110" s="57" t="s">
        <v>22</v>
      </c>
      <c r="B110" s="28">
        <v>3000</v>
      </c>
    </row>
    <row r="111" spans="1:11">
      <c r="A111" s="57" t="s">
        <v>23</v>
      </c>
      <c r="B111" s="28">
        <v>2000</v>
      </c>
    </row>
    <row r="112" spans="1:11">
      <c r="A112" s="57" t="s">
        <v>59</v>
      </c>
      <c r="B112" s="28">
        <v>35000</v>
      </c>
    </row>
    <row r="113" spans="1:2">
      <c r="A113" s="57" t="s">
        <v>60</v>
      </c>
      <c r="B113" s="28">
        <v>25000</v>
      </c>
    </row>
    <row r="114" spans="1:2">
      <c r="A114" s="57" t="s">
        <v>61</v>
      </c>
      <c r="B114" s="28">
        <v>54000</v>
      </c>
    </row>
    <row r="115" spans="1:2">
      <c r="A115" s="57" t="s">
        <v>399</v>
      </c>
      <c r="B115" s="28">
        <v>96000</v>
      </c>
    </row>
    <row r="116" spans="1:2">
      <c r="A116" s="57" t="s">
        <v>62</v>
      </c>
      <c r="B116" s="28"/>
    </row>
    <row r="117" spans="1:2">
      <c r="A117" s="57" t="s">
        <v>258</v>
      </c>
      <c r="B117" s="28">
        <v>12000</v>
      </c>
    </row>
    <row r="118" spans="1:2">
      <c r="A118" s="57" t="s">
        <v>71</v>
      </c>
      <c r="B118" s="28">
        <v>45000</v>
      </c>
    </row>
    <row r="119" spans="1:2">
      <c r="A119" s="57" t="s">
        <v>70</v>
      </c>
      <c r="B119" s="28">
        <v>500</v>
      </c>
    </row>
    <row r="120" spans="1:2">
      <c r="A120" s="57" t="s">
        <v>69</v>
      </c>
      <c r="B120" s="28">
        <v>5000</v>
      </c>
    </row>
    <row r="121" spans="1:2">
      <c r="A121" s="57" t="s">
        <v>72</v>
      </c>
      <c r="B121" s="28">
        <v>14000</v>
      </c>
    </row>
    <row r="122" spans="1:2">
      <c r="A122" s="57" t="s">
        <v>74</v>
      </c>
      <c r="B122" s="28">
        <v>0</v>
      </c>
    </row>
    <row r="123" spans="1:2">
      <c r="A123" s="57" t="s">
        <v>24</v>
      </c>
      <c r="B123" s="28">
        <v>0</v>
      </c>
    </row>
    <row r="124" spans="1:2">
      <c r="A124" s="57" t="s">
        <v>272</v>
      </c>
      <c r="B124" s="28">
        <v>0</v>
      </c>
    </row>
    <row r="125" spans="1:2">
      <c r="A125" s="57" t="s">
        <v>73</v>
      </c>
      <c r="B125" s="28">
        <v>16000</v>
      </c>
    </row>
    <row r="126" spans="1:2">
      <c r="A126" s="57" t="s">
        <v>75</v>
      </c>
      <c r="B126" s="28">
        <v>5000</v>
      </c>
    </row>
    <row r="127" spans="1:2">
      <c r="A127" s="57" t="s">
        <v>66</v>
      </c>
      <c r="B127" s="28">
        <v>500</v>
      </c>
    </row>
    <row r="128" spans="1:2">
      <c r="A128" s="57" t="s">
        <v>67</v>
      </c>
      <c r="B128" s="28">
        <v>5500</v>
      </c>
    </row>
    <row r="129" spans="1:11">
      <c r="A129" s="57" t="s">
        <v>68</v>
      </c>
      <c r="B129" s="28">
        <v>0</v>
      </c>
    </row>
    <row r="131" spans="1:11">
      <c r="A131" s="24" t="s">
        <v>257</v>
      </c>
    </row>
    <row r="132" spans="1:11">
      <c r="B132" s="56" t="s">
        <v>276</v>
      </c>
      <c r="C132" s="56" t="s">
        <v>264</v>
      </c>
      <c r="D132" s="56" t="s">
        <v>263</v>
      </c>
      <c r="F132" s="3" t="s">
        <v>392</v>
      </c>
      <c r="G132" s="3" t="s">
        <v>393</v>
      </c>
      <c r="H132" s="3" t="s">
        <v>394</v>
      </c>
      <c r="I132" s="3" t="s">
        <v>395</v>
      </c>
      <c r="J132" s="3" t="s">
        <v>396</v>
      </c>
    </row>
    <row r="133" spans="1:11">
      <c r="A133" s="37" t="s">
        <v>22</v>
      </c>
      <c r="B133" s="38" t="s">
        <v>252</v>
      </c>
      <c r="C133" s="28" t="str">
        <f t="shared" ref="C133:C135" si="47">IF(B133="flat amount","n/a",0)</f>
        <v>n/a</v>
      </c>
      <c r="D133" s="28">
        <v>3000</v>
      </c>
      <c r="F133" s="49">
        <f>IF($B133="flat amount",$D133,IF($B133="per student",$C133*'General Info Input'!B$19,'Expense Input'!$C133*'Expense Input'!C$7))</f>
        <v>3000</v>
      </c>
      <c r="G133" s="49">
        <f>IF($B133="flat amount",F133*(1+$B$88),IF($B133="per student",$C133*'General Info Input'!C$19,'Expense Input'!$C133*'Expense Input'!D$7))</f>
        <v>3090</v>
      </c>
      <c r="H133" s="49">
        <f>IF($B133="flat amount",G133*(1+$B$88),IF($B133="per student",$C133*'General Info Input'!D$19,'Expense Input'!$C133*'Expense Input'!E$7))</f>
        <v>3182.7000000000003</v>
      </c>
      <c r="I133" s="49">
        <f>IF($B133="flat amount",H133*(1+$B$88),IF($B133="per student",$C133*'General Info Input'!E$19,'Expense Input'!$C133*'Expense Input'!F$7))</f>
        <v>3278.1810000000005</v>
      </c>
      <c r="J133" s="49">
        <f>IF($B133="flat amount",I133*(1+$B$88),IF($B133="per student",$C133*'General Info Input'!F$19,'Expense Input'!$C133*'Expense Input'!G$7))</f>
        <v>3376.5264300000008</v>
      </c>
      <c r="K133" s="25" t="s">
        <v>274</v>
      </c>
    </row>
    <row r="134" spans="1:11">
      <c r="A134" s="37" t="s">
        <v>23</v>
      </c>
      <c r="B134" s="38" t="s">
        <v>252</v>
      </c>
      <c r="C134" s="28" t="str">
        <f t="shared" si="47"/>
        <v>n/a</v>
      </c>
      <c r="D134" s="28">
        <v>2000</v>
      </c>
      <c r="F134" s="49">
        <f>IF($B134="flat amount",$D134,IF($B134="per student",$C134*'General Info Input'!B$19,'Expense Input'!$C134*'Expense Input'!C$7))</f>
        <v>2000</v>
      </c>
      <c r="G134" s="49">
        <f>IF($B134="flat amount",F134*(1+$B$88),IF($B134="per student",$C134*'General Info Input'!C$19,'Expense Input'!$C134*'Expense Input'!D$7))</f>
        <v>2060</v>
      </c>
      <c r="H134" s="49">
        <f>IF($B134="flat amount",G134*(1+$B$88),IF($B134="per student",$C134*'General Info Input'!D$19,'Expense Input'!$C134*'Expense Input'!E$7))</f>
        <v>2121.8000000000002</v>
      </c>
      <c r="I134" s="49">
        <f>IF($B134="flat amount",H134*(1+$B$88),IF($B134="per student",$C134*'General Info Input'!E$19,'Expense Input'!$C134*'Expense Input'!F$7))</f>
        <v>2185.4540000000002</v>
      </c>
      <c r="J134" s="49">
        <f>IF($B134="flat amount",I134*(1+$B$88),IF($B134="per student",$C134*'General Info Input'!F$19,'Expense Input'!$C134*'Expense Input'!G$7))</f>
        <v>2251.0176200000001</v>
      </c>
    </row>
    <row r="135" spans="1:11">
      <c r="A135" s="37" t="s">
        <v>269</v>
      </c>
      <c r="B135" s="38" t="s">
        <v>252</v>
      </c>
      <c r="C135" s="28" t="str">
        <f t="shared" si="47"/>
        <v>n/a</v>
      </c>
      <c r="D135" s="28">
        <v>35000</v>
      </c>
      <c r="F135" s="49">
        <f>IF($B135="flat amount",$D135,IF($B135="per student",$C135*'General Info Input'!B$19,'Expense Input'!$C135*'Expense Input'!C$7))</f>
        <v>35000</v>
      </c>
      <c r="G135" s="49">
        <f>IF($B135="flat amount",F135*(1+$B$88),IF($B135="per student",$C135*'General Info Input'!C$19,'Expense Input'!$C135*'Expense Input'!D$7))</f>
        <v>36050</v>
      </c>
      <c r="H135" s="49">
        <f>IF($B135="flat amount",G135*(1+$B$88),IF($B135="per student",$C135*'General Info Input'!D$19,'Expense Input'!$C135*'Expense Input'!E$7))</f>
        <v>37131.5</v>
      </c>
      <c r="I135" s="49">
        <f>IF($B135="flat amount",H135*(1+$B$88),IF($B135="per student",$C135*'General Info Input'!E$19,'Expense Input'!$C135*'Expense Input'!F$7))</f>
        <v>38245.445</v>
      </c>
      <c r="J135" s="49">
        <f>IF($B135="flat amount",I135*(1+$B$88),IF($B135="per student",$C135*'General Info Input'!F$19,'Expense Input'!$C135*'Expense Input'!G$7))</f>
        <v>39392.808349999999</v>
      </c>
      <c r="K135" s="25"/>
    </row>
    <row r="136" spans="1:11">
      <c r="A136" s="37" t="s">
        <v>71</v>
      </c>
      <c r="B136" s="38" t="s">
        <v>252</v>
      </c>
      <c r="C136" s="28" t="str">
        <f t="shared" ref="C136:C143" si="48">IF(B136="flat amount","n/a",0)</f>
        <v>n/a</v>
      </c>
      <c r="D136" s="28">
        <v>45000</v>
      </c>
      <c r="F136" s="49">
        <f>IF($B136="flat amount",$D136,IF($B136="per student",$C136*'General Info Input'!B$19,'Expense Input'!$C136*'Expense Input'!C$7))</f>
        <v>45000</v>
      </c>
      <c r="G136" s="49">
        <f>IF($B136="flat amount",F136*(1+$B$88),IF($B136="per student",$C136*'General Info Input'!C$19,'Expense Input'!$C136*'Expense Input'!D$7))</f>
        <v>46350</v>
      </c>
      <c r="H136" s="49">
        <f>IF($B136="flat amount",G136*(1+$B$88),IF($B136="per student",$C136*'General Info Input'!D$19,'Expense Input'!$C136*'Expense Input'!E$7))</f>
        <v>47740.5</v>
      </c>
      <c r="I136" s="49">
        <f>IF($B136="flat amount",H136*(1+$B$88),IF($B136="per student",$C136*'General Info Input'!E$19,'Expense Input'!$C136*'Expense Input'!F$7))</f>
        <v>49172.715000000004</v>
      </c>
      <c r="J136" s="49">
        <f>IF($B136="flat amount",I136*(1+$B$88),IF($B136="per student",$C136*'General Info Input'!F$19,'Expense Input'!$C136*'Expense Input'!G$7))</f>
        <v>50647.896450000007</v>
      </c>
      <c r="K136" s="25"/>
    </row>
    <row r="137" spans="1:11">
      <c r="A137" s="37" t="s">
        <v>70</v>
      </c>
      <c r="B137" s="38" t="s">
        <v>252</v>
      </c>
      <c r="C137" s="28" t="str">
        <f t="shared" si="48"/>
        <v>n/a</v>
      </c>
      <c r="D137" s="28">
        <v>500</v>
      </c>
      <c r="F137" s="49">
        <f>IF($B137="flat amount",$D137,IF($B137="per student",$C137*'General Info Input'!B$19,'Expense Input'!$C137*'Expense Input'!C$7))</f>
        <v>500</v>
      </c>
      <c r="G137" s="49">
        <f>IF($B137="flat amount",F137*(1+$B$88),IF($B137="per student",$C137*'General Info Input'!C$19,'Expense Input'!$C137*'Expense Input'!D$7))</f>
        <v>515</v>
      </c>
      <c r="H137" s="49">
        <f>IF($B137="flat amount",G137*(1+$B$88),IF($B137="per student",$C137*'General Info Input'!D$19,'Expense Input'!$C137*'Expense Input'!E$7))</f>
        <v>530.45000000000005</v>
      </c>
      <c r="I137" s="49">
        <f>IF($B137="flat amount",H137*(1+$B$88),IF($B137="per student",$C137*'General Info Input'!E$19,'Expense Input'!$C137*'Expense Input'!F$7))</f>
        <v>546.36350000000004</v>
      </c>
      <c r="J137" s="49">
        <f>IF($B137="flat amount",I137*(1+$B$88),IF($B137="per student",$C137*'General Info Input'!F$19,'Expense Input'!$C137*'Expense Input'!G$7))</f>
        <v>562.75440500000002</v>
      </c>
      <c r="K137" s="25"/>
    </row>
    <row r="138" spans="1:11">
      <c r="A138" s="37" t="s">
        <v>69</v>
      </c>
      <c r="B138" s="38" t="s">
        <v>252</v>
      </c>
      <c r="C138" s="28" t="str">
        <f t="shared" si="48"/>
        <v>n/a</v>
      </c>
      <c r="D138" s="28">
        <v>5000</v>
      </c>
      <c r="F138" s="49">
        <f>IF($B138="flat amount",$D138,IF($B138="per student",$C138*'General Info Input'!B$19,'Expense Input'!$C138*'Expense Input'!C$7))</f>
        <v>5000</v>
      </c>
      <c r="G138" s="49">
        <f>IF($B138="flat amount",F138*(1+$B$88),IF($B138="per student",$C138*'General Info Input'!C$19,'Expense Input'!$C138*'Expense Input'!D$7))</f>
        <v>5150</v>
      </c>
      <c r="H138" s="49">
        <f>IF($B138="flat amount",G138*(1+$B$88),IF($B138="per student",$C138*'General Info Input'!D$19,'Expense Input'!$C138*'Expense Input'!E$7))</f>
        <v>5304.5</v>
      </c>
      <c r="I138" s="49">
        <f>IF($B138="flat amount",H138*(1+$B$88),IF($B138="per student",$C138*'General Info Input'!E$19,'Expense Input'!$C138*'Expense Input'!F$7))</f>
        <v>5463.6350000000002</v>
      </c>
      <c r="J138" s="49">
        <f>IF($B138="flat amount",I138*(1+$B$88),IF($B138="per student",$C138*'General Info Input'!F$19,'Expense Input'!$C138*'Expense Input'!G$7))</f>
        <v>5627.5440500000004</v>
      </c>
      <c r="K138" s="25"/>
    </row>
    <row r="139" spans="1:11">
      <c r="A139" s="37" t="s">
        <v>72</v>
      </c>
      <c r="B139" s="38" t="s">
        <v>252</v>
      </c>
      <c r="C139" s="28" t="str">
        <f t="shared" si="48"/>
        <v>n/a</v>
      </c>
      <c r="D139" s="28">
        <v>14500</v>
      </c>
      <c r="F139" s="49">
        <f>IF($B139="flat amount",$D139,IF($B139="per student",$C139*'General Info Input'!B$19,'Expense Input'!$C139*'Expense Input'!C$7))</f>
        <v>14500</v>
      </c>
      <c r="G139" s="49">
        <f>IF($B139="flat amount",F139*(1+$B$88),IF($B139="per student",$C139*'General Info Input'!C$19,'Expense Input'!$C139*'Expense Input'!D$7))</f>
        <v>14935</v>
      </c>
      <c r="H139" s="49">
        <f>IF($B139="flat amount",G139*(1+$B$88),IF($B139="per student",$C139*'General Info Input'!D$19,'Expense Input'!$C139*'Expense Input'!E$7))</f>
        <v>15383.050000000001</v>
      </c>
      <c r="I139" s="49">
        <f>IF($B139="flat amount",H139*(1+$B$88),IF($B139="per student",$C139*'General Info Input'!E$19,'Expense Input'!$C139*'Expense Input'!F$7))</f>
        <v>15844.541500000001</v>
      </c>
      <c r="J139" s="49">
        <f>IF($B139="flat amount",I139*(1+$B$88),IF($B139="per student",$C139*'General Info Input'!F$19,'Expense Input'!$C139*'Expense Input'!G$7))</f>
        <v>16319.877745000002</v>
      </c>
      <c r="K139" s="25"/>
    </row>
    <row r="140" spans="1:11">
      <c r="A140" s="37" t="s">
        <v>24</v>
      </c>
      <c r="B140" s="38" t="s">
        <v>252</v>
      </c>
      <c r="C140" s="28" t="str">
        <f t="shared" si="48"/>
        <v>n/a</v>
      </c>
      <c r="D140" s="28">
        <v>0</v>
      </c>
      <c r="F140" s="49">
        <f>IF($B140="flat amount",$D140,IF($B140="per student",$C140*'General Info Input'!B$19,'Expense Input'!$C140*'Expense Input'!C$7))</f>
        <v>0</v>
      </c>
      <c r="G140" s="49">
        <f>IF($B140="flat amount",F140*(1+$B$88),IF($B140="per student",$C140*'General Info Input'!C$19,'Expense Input'!$C140*'Expense Input'!D$7))</f>
        <v>0</v>
      </c>
      <c r="H140" s="49">
        <f>IF($B140="flat amount",G140*(1+$B$88),IF($B140="per student",$C140*'General Info Input'!D$19,'Expense Input'!$C140*'Expense Input'!E$7))</f>
        <v>0</v>
      </c>
      <c r="I140" s="49">
        <f>IF($B140="flat amount",H140*(1+$B$88),IF($B140="per student",$C140*'General Info Input'!E$19,'Expense Input'!$C140*'Expense Input'!F$7))</f>
        <v>0</v>
      </c>
      <c r="J140" s="49">
        <f>IF($B140="flat amount",I140*(1+$B$88),IF($B140="per student",$C140*'General Info Input'!F$19,'Expense Input'!$C140*'Expense Input'!G$7))</f>
        <v>0</v>
      </c>
      <c r="K140" s="25"/>
    </row>
    <row r="141" spans="1:11">
      <c r="A141" s="37" t="s">
        <v>73</v>
      </c>
      <c r="B141" s="38" t="s">
        <v>252</v>
      </c>
      <c r="C141" s="28" t="str">
        <f t="shared" si="48"/>
        <v>n/a</v>
      </c>
      <c r="D141" s="28">
        <v>16000</v>
      </c>
      <c r="F141" s="49">
        <f>IF($B141="flat amount",$D141,IF($B141="per student",$C141*'General Info Input'!B$19,'Expense Input'!$C141*'Expense Input'!C$7))</f>
        <v>16000</v>
      </c>
      <c r="G141" s="49">
        <f>IF($B141="flat amount",F141*(1+$B$88),IF($B141="per student",$C141*'General Info Input'!C$19,'Expense Input'!$C141*'Expense Input'!D$7))</f>
        <v>16480</v>
      </c>
      <c r="H141" s="49">
        <f>IF($B141="flat amount",G141*(1+$B$88),IF($B141="per student",$C141*'General Info Input'!D$19,'Expense Input'!$C141*'Expense Input'!E$7))</f>
        <v>16974.400000000001</v>
      </c>
      <c r="I141" s="49">
        <f>IF($B141="flat amount",H141*(1+$B$88),IF($B141="per student",$C141*'General Info Input'!E$19,'Expense Input'!$C141*'Expense Input'!F$7))</f>
        <v>17483.632000000001</v>
      </c>
      <c r="J141" s="49">
        <f>IF($B141="flat amount",I141*(1+$B$88),IF($B141="per student",$C141*'General Info Input'!F$19,'Expense Input'!$C141*'Expense Input'!G$7))</f>
        <v>18008.140960000001</v>
      </c>
      <c r="K141" s="25"/>
    </row>
    <row r="142" spans="1:11">
      <c r="A142" s="37" t="s">
        <v>75</v>
      </c>
      <c r="B142" s="38" t="s">
        <v>252</v>
      </c>
      <c r="C142" s="28" t="str">
        <f t="shared" si="48"/>
        <v>n/a</v>
      </c>
      <c r="D142" s="28">
        <v>5000</v>
      </c>
      <c r="F142" s="49">
        <f>IF($B142="flat amount",$D142,IF($B142="per student",$C142*'General Info Input'!B$19,'Expense Input'!$C142*'Expense Input'!C$7))</f>
        <v>5000</v>
      </c>
      <c r="G142" s="49">
        <f>IF($B142="flat amount",F142*(1+$B$88),IF($B142="per student",$C142*'General Info Input'!C$19,'Expense Input'!$C142*'Expense Input'!D$7))</f>
        <v>5150</v>
      </c>
      <c r="H142" s="49">
        <f>IF($B142="flat amount",G142*(1+$B$88),IF($B142="per student",$C142*'General Info Input'!D$19,'Expense Input'!$C142*'Expense Input'!E$7))</f>
        <v>5304.5</v>
      </c>
      <c r="I142" s="49">
        <f>IF($B142="flat amount",H142*(1+$B$88),IF($B142="per student",$C142*'General Info Input'!E$19,'Expense Input'!$C142*'Expense Input'!F$7))</f>
        <v>5463.6350000000002</v>
      </c>
      <c r="J142" s="49">
        <f>IF($B142="flat amount",I142*(1+$B$88),IF($B142="per student",$C142*'General Info Input'!F$19,'Expense Input'!$C142*'Expense Input'!G$7))</f>
        <v>5627.5440500000004</v>
      </c>
      <c r="K142" s="25"/>
    </row>
    <row r="143" spans="1:11">
      <c r="A143" s="37" t="s">
        <v>68</v>
      </c>
      <c r="B143" s="38" t="s">
        <v>252</v>
      </c>
      <c r="C143" s="28" t="str">
        <f t="shared" si="48"/>
        <v>n/a</v>
      </c>
      <c r="D143" s="28">
        <v>0</v>
      </c>
      <c r="F143" s="49">
        <f>IF($B143="flat amount",$D143,IF($B143="per student",$C143*'General Info Input'!B$19,'Expense Input'!$C143*'Expense Input'!C$7))</f>
        <v>0</v>
      </c>
      <c r="G143" s="49">
        <f>IF($B143="flat amount",F143*(1+$B$88),IF($B143="per student",$C143*'General Info Input'!C$19,'Expense Input'!$C143*'Expense Input'!D$7))</f>
        <v>0</v>
      </c>
      <c r="H143" s="49">
        <f>IF($B143="flat amount",G143*(1+$B$88),IF($B143="per student",$C143*'General Info Input'!D$19,'Expense Input'!$C143*'Expense Input'!E$7))</f>
        <v>0</v>
      </c>
      <c r="I143" s="49">
        <f>IF($B143="flat amount",H143*(1+$B$88),IF($B143="per student",$C143*'General Info Input'!E$19,'Expense Input'!$C143*'Expense Input'!F$7))</f>
        <v>0</v>
      </c>
      <c r="J143" s="49">
        <f>IF($B143="flat amount",I143*(1+$B$88),IF($B143="per student",$C143*'General Info Input'!F$19,'Expense Input'!$C143*'Expense Input'!G$7))</f>
        <v>0</v>
      </c>
      <c r="K143" s="25"/>
    </row>
    <row r="144" spans="1:11">
      <c r="A144" s="37"/>
      <c r="B144" s="41"/>
      <c r="C144" s="51"/>
      <c r="D144" s="51"/>
      <c r="E144" s="30"/>
      <c r="F144" s="51"/>
      <c r="G144" s="51"/>
      <c r="H144" s="51"/>
      <c r="I144" s="51"/>
      <c r="J144" s="51"/>
      <c r="K144" s="25"/>
    </row>
    <row r="145" spans="1:11">
      <c r="A145" s="58" t="s">
        <v>275</v>
      </c>
      <c r="B145" s="41"/>
      <c r="C145" s="51"/>
      <c r="D145" s="51"/>
      <c r="E145" s="30"/>
      <c r="F145" s="51"/>
      <c r="G145" s="51"/>
      <c r="H145" s="51"/>
      <c r="I145" s="51"/>
      <c r="J145" s="51"/>
      <c r="K145" s="25"/>
    </row>
    <row r="146" spans="1:11">
      <c r="A146" s="37"/>
      <c r="B146" s="41"/>
      <c r="C146" s="51"/>
      <c r="D146" s="51"/>
      <c r="E146" s="30"/>
      <c r="F146" s="3" t="s">
        <v>392</v>
      </c>
      <c r="G146" s="3" t="s">
        <v>393</v>
      </c>
      <c r="H146" s="3" t="s">
        <v>394</v>
      </c>
      <c r="I146" s="3" t="s">
        <v>395</v>
      </c>
      <c r="J146" s="3" t="s">
        <v>396</v>
      </c>
      <c r="K146" s="25"/>
    </row>
    <row r="147" spans="1:11">
      <c r="A147" s="37" t="s">
        <v>74</v>
      </c>
      <c r="B147" s="41"/>
      <c r="C147" s="51"/>
      <c r="D147" s="51"/>
      <c r="E147" s="30"/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5">
        <v>0</v>
      </c>
    </row>
    <row r="148" spans="1:11">
      <c r="K148" s="25"/>
    </row>
    <row r="149" spans="1:11">
      <c r="A149" s="24" t="s">
        <v>275</v>
      </c>
      <c r="K149" s="25"/>
    </row>
    <row r="150" spans="1:11">
      <c r="F150" s="3" t="s">
        <v>392</v>
      </c>
      <c r="G150" s="3" t="s">
        <v>393</v>
      </c>
      <c r="H150" s="3" t="s">
        <v>394</v>
      </c>
      <c r="I150" s="3" t="s">
        <v>395</v>
      </c>
      <c r="J150" s="3" t="s">
        <v>396</v>
      </c>
      <c r="K150" s="25"/>
    </row>
    <row r="151" spans="1:11">
      <c r="A151" s="37" t="s">
        <v>62</v>
      </c>
      <c r="B151" s="41"/>
      <c r="C151" s="41"/>
      <c r="D151" s="41"/>
      <c r="F151" s="28">
        <v>0</v>
      </c>
      <c r="G151" s="49">
        <f>F151*(1+$B$88)</f>
        <v>0</v>
      </c>
      <c r="H151" s="49">
        <f t="shared" ref="H151:J151" si="49">G151*(1+$B$88)</f>
        <v>0</v>
      </c>
      <c r="I151" s="49">
        <f t="shared" si="49"/>
        <v>0</v>
      </c>
      <c r="J151" s="49">
        <f t="shared" si="49"/>
        <v>0</v>
      </c>
      <c r="K151" s="25" t="s">
        <v>265</v>
      </c>
    </row>
    <row r="152" spans="1:11">
      <c r="A152" s="37" t="s">
        <v>211</v>
      </c>
      <c r="B152" s="41"/>
      <c r="C152" s="41"/>
      <c r="D152" s="41"/>
      <c r="F152" s="28">
        <v>0</v>
      </c>
      <c r="G152" s="49">
        <f>F152*(1+'General Info Input'!C$21)</f>
        <v>0</v>
      </c>
      <c r="H152" s="49">
        <f>G152*(1+'General Info Input'!D$21)</f>
        <v>0</v>
      </c>
      <c r="I152" s="49">
        <f>H152*(1+'General Info Input'!E$21)</f>
        <v>0</v>
      </c>
      <c r="J152" s="49">
        <f>I152*(1+'General Info Input'!F$21)</f>
        <v>0</v>
      </c>
      <c r="K152" s="25" t="s">
        <v>266</v>
      </c>
    </row>
    <row r="153" spans="1:11" hidden="1">
      <c r="A153" s="37"/>
      <c r="B153" s="41"/>
      <c r="C153" s="41"/>
      <c r="D153" s="41"/>
      <c r="E153" s="37" t="s">
        <v>270</v>
      </c>
      <c r="F153" s="51"/>
      <c r="G153" s="112" t="e">
        <f>(G152-F152)/F152</f>
        <v>#DIV/0!</v>
      </c>
      <c r="H153" s="112" t="e">
        <f t="shared" ref="H153:J153" si="50">(H152-G152)/G152</f>
        <v>#DIV/0!</v>
      </c>
      <c r="I153" s="113" t="e">
        <f t="shared" si="50"/>
        <v>#DIV/0!</v>
      </c>
      <c r="J153" s="112" t="e">
        <f t="shared" si="50"/>
        <v>#DIV/0!</v>
      </c>
      <c r="K153" s="25"/>
    </row>
    <row r="154" spans="1:11">
      <c r="A154" s="37" t="s">
        <v>212</v>
      </c>
      <c r="B154" s="41"/>
      <c r="C154" s="41"/>
      <c r="D154" s="41"/>
      <c r="E154" s="37"/>
      <c r="F154" s="28">
        <v>96000</v>
      </c>
      <c r="G154" s="49">
        <f>F154*(1+'General Info Input'!C$21)</f>
        <v>102000</v>
      </c>
      <c r="H154" s="49">
        <f>G154*(1+'General Info Input'!D$21)</f>
        <v>108000</v>
      </c>
      <c r="I154" s="49">
        <f>H154*(1+'General Info Input'!E$21)</f>
        <v>108000</v>
      </c>
      <c r="J154" s="49">
        <f>I154*(1+'General Info Input'!F$21)</f>
        <v>108000</v>
      </c>
      <c r="K154" s="25" t="s">
        <v>277</v>
      </c>
    </row>
    <row r="155" spans="1:11">
      <c r="A155" s="37"/>
      <c r="K155" s="25"/>
    </row>
    <row r="156" spans="1:11">
      <c r="A156" s="24" t="s">
        <v>259</v>
      </c>
      <c r="K156" s="25"/>
    </row>
    <row r="157" spans="1:11">
      <c r="C157" s="56" t="s">
        <v>261</v>
      </c>
      <c r="D157" s="59"/>
      <c r="F157" s="3" t="s">
        <v>76</v>
      </c>
      <c r="G157" s="3" t="s">
        <v>77</v>
      </c>
      <c r="H157" s="3" t="s">
        <v>78</v>
      </c>
      <c r="I157" s="3" t="s">
        <v>79</v>
      </c>
      <c r="J157" s="3" t="s">
        <v>80</v>
      </c>
    </row>
    <row r="158" spans="1:11">
      <c r="A158" s="37" t="s">
        <v>60</v>
      </c>
      <c r="B158" s="39" t="s">
        <v>260</v>
      </c>
      <c r="C158" s="28">
        <v>1200</v>
      </c>
      <c r="D158" s="51"/>
      <c r="F158" s="49">
        <f>$C158*12</f>
        <v>14400</v>
      </c>
      <c r="G158" s="49" t="e">
        <f>((F158/12)*(1+G$153))*12</f>
        <v>#DIV/0!</v>
      </c>
      <c r="H158" s="49" t="e">
        <f>((G158/12)*(1+H$153))*12</f>
        <v>#DIV/0!</v>
      </c>
      <c r="I158" s="49" t="e">
        <f>((H158/12)*(1+I$153))*12</f>
        <v>#DIV/0!</v>
      </c>
      <c r="J158" s="49" t="e">
        <f>((I158/12)*(1+J$153))*12</f>
        <v>#DIV/0!</v>
      </c>
      <c r="K158" s="25" t="s">
        <v>271</v>
      </c>
    </row>
    <row r="159" spans="1:11">
      <c r="A159" s="37" t="s">
        <v>61</v>
      </c>
      <c r="B159" s="39" t="s">
        <v>260</v>
      </c>
      <c r="C159" s="28">
        <v>4000</v>
      </c>
      <c r="D159" s="51"/>
      <c r="F159" s="49">
        <f t="shared" ref="F159:F161" si="51">$C159*12</f>
        <v>48000</v>
      </c>
      <c r="G159" s="49" t="e">
        <f t="shared" ref="G159:J159" si="52">((F159/12)*(1+G$153))*12</f>
        <v>#DIV/0!</v>
      </c>
      <c r="H159" s="49" t="e">
        <f t="shared" si="52"/>
        <v>#DIV/0!</v>
      </c>
      <c r="I159" s="49" t="e">
        <f t="shared" si="52"/>
        <v>#DIV/0!</v>
      </c>
      <c r="J159" s="49" t="e">
        <f t="shared" si="52"/>
        <v>#DIV/0!</v>
      </c>
    </row>
    <row r="160" spans="1:11">
      <c r="A160" s="37" t="s">
        <v>258</v>
      </c>
      <c r="B160" s="39" t="s">
        <v>260</v>
      </c>
      <c r="C160" s="28">
        <v>500</v>
      </c>
      <c r="D160" s="51"/>
      <c r="F160" s="49">
        <f t="shared" si="51"/>
        <v>6000</v>
      </c>
      <c r="G160" s="49" t="e">
        <f t="shared" ref="G160:J160" si="53">((F160/12)*(1+G$153))*12</f>
        <v>#DIV/0!</v>
      </c>
      <c r="H160" s="49" t="e">
        <f t="shared" si="53"/>
        <v>#DIV/0!</v>
      </c>
      <c r="I160" s="49" t="e">
        <f t="shared" si="53"/>
        <v>#DIV/0!</v>
      </c>
      <c r="J160" s="49" t="e">
        <f t="shared" si="53"/>
        <v>#DIV/0!</v>
      </c>
    </row>
    <row r="161" spans="1:11">
      <c r="A161" s="37" t="s">
        <v>67</v>
      </c>
      <c r="B161" s="39" t="s">
        <v>260</v>
      </c>
      <c r="C161" s="28">
        <v>500</v>
      </c>
      <c r="D161" s="51"/>
      <c r="F161" s="49">
        <f t="shared" si="51"/>
        <v>6000</v>
      </c>
      <c r="G161" s="49" t="e">
        <f t="shared" ref="G161:J161" si="54">((F161/12)*(1+G$153))*12</f>
        <v>#DIV/0!</v>
      </c>
      <c r="H161" s="49" t="e">
        <f t="shared" si="54"/>
        <v>#DIV/0!</v>
      </c>
      <c r="I161" s="49" t="e">
        <f t="shared" si="54"/>
        <v>#DIV/0!</v>
      </c>
      <c r="J161" s="49" t="e">
        <f t="shared" si="54"/>
        <v>#DIV/0!</v>
      </c>
    </row>
    <row r="163" spans="1:11">
      <c r="A163" s="23" t="s">
        <v>102</v>
      </c>
    </row>
    <row r="164" spans="1:11">
      <c r="A164" s="23"/>
    </row>
    <row r="165" spans="1:11">
      <c r="A165" s="58" t="s">
        <v>281</v>
      </c>
      <c r="J165" s="28">
        <v>0</v>
      </c>
      <c r="K165" s="24" t="s">
        <v>280</v>
      </c>
    </row>
    <row r="166" spans="1:11">
      <c r="F166" s="51"/>
      <c r="G166" s="41"/>
      <c r="J166" s="25" t="s">
        <v>384</v>
      </c>
      <c r="K166" s="25"/>
    </row>
    <row r="167" spans="1:11">
      <c r="B167" s="3" t="s">
        <v>76</v>
      </c>
      <c r="C167" s="3" t="s">
        <v>77</v>
      </c>
      <c r="D167" s="3" t="s">
        <v>78</v>
      </c>
      <c r="E167" s="3" t="s">
        <v>79</v>
      </c>
      <c r="F167" s="3" t="s">
        <v>80</v>
      </c>
    </row>
    <row r="168" spans="1:11">
      <c r="A168" s="37" t="s">
        <v>278</v>
      </c>
      <c r="B168" s="49">
        <f>'Budget Summary'!C11+'Budget Summary'!C20</f>
        <v>0</v>
      </c>
      <c r="C168" s="49">
        <f>'Budget Summary'!D11+'Budget Summary'!D20</f>
        <v>0</v>
      </c>
      <c r="D168" s="49">
        <f>'Budget Summary'!E11+'Budget Summary'!E20</f>
        <v>0</v>
      </c>
      <c r="E168" s="49">
        <f>'Budget Summary'!F11+'Budget Summary'!F20</f>
        <v>0</v>
      </c>
      <c r="F168" s="49">
        <f>'Budget Summary'!G11+'Budget Summary'!G20</f>
        <v>0</v>
      </c>
      <c r="G168" s="25" t="s">
        <v>279</v>
      </c>
    </row>
    <row r="169" spans="1:11">
      <c r="A169" s="60" t="s">
        <v>295</v>
      </c>
      <c r="B169" s="49">
        <f>C23+C53</f>
        <v>0</v>
      </c>
      <c r="C169" s="49">
        <f t="shared" ref="C169:F169" si="55">D23+D53</f>
        <v>0</v>
      </c>
      <c r="D169" s="49">
        <f t="shared" si="55"/>
        <v>0</v>
      </c>
      <c r="E169" s="49">
        <f t="shared" si="55"/>
        <v>0</v>
      </c>
      <c r="F169" s="49">
        <f t="shared" si="55"/>
        <v>0</v>
      </c>
      <c r="G169" s="25" t="s">
        <v>296</v>
      </c>
    </row>
    <row r="170" spans="1:11">
      <c r="A170" s="60" t="s">
        <v>282</v>
      </c>
      <c r="B170" s="28">
        <v>0</v>
      </c>
      <c r="C170" s="49">
        <f>B170*(1+'General Info Input'!C21)</f>
        <v>0</v>
      </c>
      <c r="D170" s="49">
        <f>C170*(1+'General Info Input'!D21)</f>
        <v>0</v>
      </c>
      <c r="E170" s="49">
        <f>D170*(1+'General Info Input'!E21)</f>
        <v>0</v>
      </c>
      <c r="F170" s="49">
        <f>E170*(1+'General Info Input'!F21)</f>
        <v>0</v>
      </c>
      <c r="G170" s="25" t="s">
        <v>284</v>
      </c>
    </row>
    <row r="171" spans="1:11" ht="15" thickBot="1">
      <c r="A171" s="60" t="s">
        <v>283</v>
      </c>
      <c r="B171" s="61">
        <f>$J$165*'General Info Input'!B31</f>
        <v>0</v>
      </c>
      <c r="C171" s="61">
        <f>$J$165*'General Info Input'!C31</f>
        <v>0</v>
      </c>
      <c r="D171" s="61">
        <f>$J$165*'General Info Input'!D31</f>
        <v>0</v>
      </c>
      <c r="E171" s="61">
        <f>$J$165*'General Info Input'!E31</f>
        <v>0</v>
      </c>
      <c r="F171" s="61">
        <f>$J$165*'General Info Input'!F31</f>
        <v>0</v>
      </c>
      <c r="G171" s="25"/>
    </row>
    <row r="172" spans="1:11">
      <c r="A172" s="37" t="s">
        <v>297</v>
      </c>
      <c r="B172" s="62">
        <f>+B168-SUM(B169:B171)</f>
        <v>0</v>
      </c>
      <c r="C172" s="62">
        <f t="shared" ref="C172:F172" si="56">+C168-SUM(C169:C171)</f>
        <v>0</v>
      </c>
      <c r="D172" s="62">
        <f t="shared" si="56"/>
        <v>0</v>
      </c>
      <c r="E172" s="62">
        <f t="shared" si="56"/>
        <v>0</v>
      </c>
      <c r="F172" s="62">
        <f t="shared" si="56"/>
        <v>0</v>
      </c>
      <c r="G172" s="25" t="s">
        <v>305</v>
      </c>
    </row>
    <row r="173" spans="1:11">
      <c r="B173" s="63" t="str">
        <f>IF(B172&gt;0,"!!!","")</f>
        <v/>
      </c>
      <c r="C173" s="63" t="str">
        <f t="shared" ref="C173:F173" si="57">IF(C172&gt;0,"!!!","")</f>
        <v/>
      </c>
      <c r="D173" s="63" t="str">
        <f t="shared" si="57"/>
        <v/>
      </c>
      <c r="E173" s="63" t="str">
        <f t="shared" si="57"/>
        <v/>
      </c>
      <c r="F173" s="63" t="str">
        <f t="shared" si="57"/>
        <v/>
      </c>
    </row>
    <row r="174" spans="1:11">
      <c r="A174" s="23" t="s">
        <v>298</v>
      </c>
    </row>
    <row r="176" spans="1:11">
      <c r="A176" s="24" t="s">
        <v>300</v>
      </c>
      <c r="C176" s="44">
        <v>0.03</v>
      </c>
      <c r="D176" s="25" t="s">
        <v>299</v>
      </c>
    </row>
  </sheetData>
  <pageMargins left="0.7" right="0.7" top="0.75" bottom="0.75" header="0.3" footer="0.3"/>
  <pageSetup scale="30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'Model Calculations'!$A$1:$A$2</xm:f>
          </x14:formula1>
          <xm:sqref>C65:C75</xm:sqref>
        </x14:dataValidation>
        <x14:dataValidation type="list" allowBlank="1" showInputMessage="1" showErrorMessage="1">
          <x14:formula1>
            <xm:f>'Model Calculations'!$D$1:$D$4</xm:f>
          </x14:formula1>
          <xm:sqref>B65:B75</xm:sqref>
        </x14:dataValidation>
        <x14:dataValidation type="list" allowBlank="1" showInputMessage="1" showErrorMessage="1">
          <x14:formula1>
            <xm:f>'Model Calculations'!$E$1:$E$2</xm:f>
          </x14:formula1>
          <xm:sqref>B100:B104</xm:sqref>
        </x14:dataValidation>
        <x14:dataValidation type="list" allowBlank="1" showInputMessage="1" showErrorMessage="1">
          <x14:formula1>
            <xm:f>'Model Calculations'!$E$1:$E$3</xm:f>
          </x14:formula1>
          <xm:sqref>B133:B143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102"/>
  <sheetViews>
    <sheetView zoomScale="164" zoomScaleNormal="80" zoomScalePageLayoutView="80" workbookViewId="0">
      <pane xSplit="2" ySplit="3" topLeftCell="C54" activePane="bottomRight" state="frozen"/>
      <selection pane="topRight" activeCell="C1" sqref="C1"/>
      <selection pane="bottomLeft" activeCell="A5" sqref="A5"/>
      <selection pane="bottomRight" activeCell="I1" sqref="I1:I1048576"/>
    </sheetView>
  </sheetViews>
  <sheetFormatPr baseColWidth="10" defaultColWidth="8.83203125" defaultRowHeight="14" outlineLevelRow="1"/>
  <cols>
    <col min="1" max="1" width="7.5" style="23" customWidth="1"/>
    <col min="2" max="2" width="41" style="24" bestFit="1" customWidth="1"/>
    <col min="3" max="7" width="10.83203125" style="24" customWidth="1"/>
    <col min="8" max="8" width="4.1640625" style="24" customWidth="1"/>
    <col min="9" max="16384" width="8.83203125" style="24"/>
  </cols>
  <sheetData>
    <row r="1" spans="1:7" ht="16">
      <c r="A1" s="64" t="str">
        <f>'General Info Input'!C1</f>
        <v>Sol Aureus College Preparatory</v>
      </c>
    </row>
    <row r="2" spans="1:7" ht="15">
      <c r="A2" s="65"/>
    </row>
    <row r="3" spans="1:7">
      <c r="C3" s="3" t="s">
        <v>392</v>
      </c>
      <c r="D3" s="3" t="s">
        <v>393</v>
      </c>
      <c r="E3" s="3" t="s">
        <v>394</v>
      </c>
      <c r="F3" s="3" t="s">
        <v>395</v>
      </c>
      <c r="G3" s="3" t="s">
        <v>396</v>
      </c>
    </row>
    <row r="4" spans="1:7">
      <c r="A4" s="23" t="s">
        <v>40</v>
      </c>
      <c r="C4" s="66"/>
      <c r="D4" s="66"/>
      <c r="E4" s="66"/>
      <c r="F4" s="66"/>
      <c r="G4" s="66"/>
    </row>
    <row r="5" spans="1:7" outlineLevel="1">
      <c r="A5" s="23" t="s">
        <v>26</v>
      </c>
      <c r="C5" s="66"/>
      <c r="D5" s="66"/>
      <c r="E5" s="66"/>
      <c r="F5" s="66"/>
      <c r="G5" s="66"/>
    </row>
    <row r="6" spans="1:7" outlineLevel="1">
      <c r="B6" s="24" t="s">
        <v>3</v>
      </c>
      <c r="C6" s="67">
        <f>+'Revenue Input'!C4-'Budget Summary'!C7-'Budget Summary'!C8</f>
        <v>2258323.8415999999</v>
      </c>
      <c r="D6" s="67">
        <f>+'Revenue Input'!D4-'Budget Summary'!D7-'Budget Summary'!D8</f>
        <v>2446046.6982</v>
      </c>
      <c r="E6" s="67">
        <f>+'Revenue Input'!E4-'Budget Summary'!E7-'Budget Summary'!E8</f>
        <v>2690299.35</v>
      </c>
      <c r="F6" s="67">
        <f>+'Revenue Input'!F4-'Budget Summary'!F7-'Budget Summary'!F8</f>
        <v>2690299.35</v>
      </c>
      <c r="G6" s="67">
        <f>+'Revenue Input'!G4-'Budget Summary'!G7-'Budget Summary'!G8</f>
        <v>2690299.35</v>
      </c>
    </row>
    <row r="7" spans="1:7" outlineLevel="1">
      <c r="B7" s="24" t="s">
        <v>4</v>
      </c>
      <c r="C7" s="67">
        <f>IF(C8&lt;'Revenue Input'!C4,('Revenue Input'!C6*'General Info Input'!B31),0)</f>
        <v>72000</v>
      </c>
      <c r="D7" s="67">
        <f>IF(D8&lt;'Revenue Input'!D4,('Revenue Input'!D6*'General Info Input'!C31),0)</f>
        <v>76500</v>
      </c>
      <c r="E7" s="67">
        <f>IF(E8&lt;'Revenue Input'!E4,('Revenue Input'!E6*'General Info Input'!D31),0)</f>
        <v>81000</v>
      </c>
      <c r="F7" s="67">
        <f>IF(F8&lt;'Revenue Input'!F4,('Revenue Input'!F6*'General Info Input'!E31),0)</f>
        <v>81000</v>
      </c>
      <c r="G7" s="67">
        <f>IF(G8&lt;'Revenue Input'!G4,('Revenue Input'!G6*'General Info Input'!F31),0)</f>
        <v>81000</v>
      </c>
    </row>
    <row r="8" spans="1:7" outlineLevel="1">
      <c r="B8" s="24" t="s">
        <v>5</v>
      </c>
      <c r="C8" s="110">
        <f>'Revenue Input'!$E$8*'General Info Input'!B31</f>
        <v>661150.80000000005</v>
      </c>
      <c r="D8" s="110">
        <f>'Revenue Input'!$E$8*'General Info Input'!C31</f>
        <v>702472.72499999998</v>
      </c>
      <c r="E8" s="110">
        <f>'Revenue Input'!$E$8*'General Info Input'!D31</f>
        <v>743794.65</v>
      </c>
      <c r="F8" s="110">
        <f>'Revenue Input'!$E$8*'General Info Input'!E31</f>
        <v>743794.65</v>
      </c>
      <c r="G8" s="110">
        <f>'Revenue Input'!$E$8*'General Info Input'!F31</f>
        <v>743794.65</v>
      </c>
    </row>
    <row r="9" spans="1:7">
      <c r="A9" s="23" t="s">
        <v>26</v>
      </c>
      <c r="C9" s="109">
        <f t="shared" ref="C9:G9" si="0">+SUM(C6:C8)</f>
        <v>2991474.6415999997</v>
      </c>
      <c r="D9" s="109">
        <f t="shared" si="0"/>
        <v>3225019.4232000001</v>
      </c>
      <c r="E9" s="109">
        <f t="shared" si="0"/>
        <v>3515094</v>
      </c>
      <c r="F9" s="109">
        <f t="shared" si="0"/>
        <v>3515094</v>
      </c>
      <c r="G9" s="109">
        <f t="shared" si="0"/>
        <v>3515094</v>
      </c>
    </row>
    <row r="10" spans="1:7" outlineLevel="1">
      <c r="A10" s="23" t="s">
        <v>27</v>
      </c>
      <c r="C10" s="108"/>
      <c r="D10" s="108"/>
      <c r="E10" s="108"/>
      <c r="F10" s="108"/>
      <c r="G10" s="108"/>
    </row>
    <row r="11" spans="1:7" outlineLevel="1">
      <c r="B11" s="24" t="s">
        <v>29</v>
      </c>
      <c r="C11" s="67">
        <f>'Revenue Input'!C16*'General Info Input'!B31</f>
        <v>0</v>
      </c>
      <c r="D11" s="67">
        <f>'Revenue Input'!D16*'General Info Input'!B31</f>
        <v>0</v>
      </c>
      <c r="E11" s="67">
        <f>'Revenue Input'!E16*'General Info Input'!C31</f>
        <v>0</v>
      </c>
      <c r="F11" s="67">
        <f>'Revenue Input'!F16*'General Info Input'!D31</f>
        <v>0</v>
      </c>
      <c r="G11" s="67">
        <f>'Revenue Input'!G16*'General Info Input'!E31</f>
        <v>0</v>
      </c>
    </row>
    <row r="12" spans="1:7" outlineLevel="1">
      <c r="B12" s="24" t="s">
        <v>30</v>
      </c>
      <c r="C12" s="67">
        <f>SUM('Model Calculations'!C90:C92)</f>
        <v>0</v>
      </c>
      <c r="D12" s="67">
        <f>SUM('Model Calculations'!D90:D92)</f>
        <v>0</v>
      </c>
      <c r="E12" s="67">
        <f>SUM('Model Calculations'!E90:E92)</f>
        <v>0</v>
      </c>
      <c r="F12" s="67">
        <f>SUM('Model Calculations'!F90:F92)</f>
        <v>0</v>
      </c>
      <c r="G12" s="67">
        <f>SUM('Model Calculations'!G90:G92)</f>
        <v>0</v>
      </c>
    </row>
    <row r="13" spans="1:7" outlineLevel="1">
      <c r="B13" s="24" t="s">
        <v>35</v>
      </c>
      <c r="C13" s="67">
        <f>IF('Revenue Input'!$C$21="yes",'Revenue Input'!C24*'General Info Input'!B37,0)</f>
        <v>98000</v>
      </c>
      <c r="D13" s="67">
        <f>IF('Revenue Input'!$C$21="yes",'Revenue Input'!D24*'General Info Input'!C37,0)</f>
        <v>104125</v>
      </c>
      <c r="E13" s="67">
        <f>IF('Revenue Input'!$C$21="yes",'Revenue Input'!E24*'General Info Input'!D37,0)</f>
        <v>110250</v>
      </c>
      <c r="F13" s="67">
        <f>IF('Revenue Input'!$C$21="yes",'Revenue Input'!F24*'General Info Input'!E37,0)</f>
        <v>110250</v>
      </c>
      <c r="G13" s="67">
        <f>IF('Revenue Input'!$C$21="yes",'Revenue Input'!G24*'General Info Input'!F37,0)</f>
        <v>110250</v>
      </c>
    </row>
    <row r="14" spans="1:7" outlineLevel="1">
      <c r="B14" s="24" t="s">
        <v>36</v>
      </c>
      <c r="C14" s="67">
        <f>IF('Revenue Input'!$C$21="yes",'Revenue Input'!C25*'General Info Input'!B37,0)</f>
        <v>1400</v>
      </c>
      <c r="D14" s="67">
        <f>IF('Revenue Input'!$C$21="yes",'Revenue Input'!D25*'General Info Input'!C37,0)</f>
        <v>1487.5</v>
      </c>
      <c r="E14" s="67">
        <f>IF('Revenue Input'!$C$21="yes",'Revenue Input'!E25*'General Info Input'!D37,0)</f>
        <v>1575</v>
      </c>
      <c r="F14" s="67">
        <f>IF('Revenue Input'!$C$21="yes",'Revenue Input'!F25*'General Info Input'!E37,0)</f>
        <v>1575</v>
      </c>
      <c r="G14" s="67">
        <f>IF('Revenue Input'!$C$21="yes",'Revenue Input'!G25*'General Info Input'!F37,0)</f>
        <v>1575</v>
      </c>
    </row>
    <row r="15" spans="1:7" outlineLevel="1">
      <c r="B15" s="24" t="s">
        <v>37</v>
      </c>
      <c r="C15" s="67">
        <f>IF('Revenue Input'!$C$21="yes",'Revenue Input'!C26*'General Info Input'!B39,0)</f>
        <v>5811.6</v>
      </c>
      <c r="D15" s="67">
        <f>IF('Revenue Input'!$C$21="yes",'Revenue Input'!D26*'General Info Input'!C39,0)</f>
        <v>6174.8249999999998</v>
      </c>
      <c r="E15" s="67">
        <f>IF('Revenue Input'!$C$21="yes",'Revenue Input'!E26*'General Info Input'!D39,0)</f>
        <v>6538.05</v>
      </c>
      <c r="F15" s="67">
        <f>IF('Revenue Input'!$C$21="yes",'Revenue Input'!F26*'General Info Input'!E39,0)</f>
        <v>6538.05</v>
      </c>
      <c r="G15" s="67">
        <f>IF('Revenue Input'!$C$21="yes",'Revenue Input'!G26*'General Info Input'!F39,0)</f>
        <v>6538.05</v>
      </c>
    </row>
    <row r="16" spans="1:7" outlineLevel="1">
      <c r="B16" s="24" t="s">
        <v>38</v>
      </c>
      <c r="C16" s="67">
        <f>'Revenue Input'!C31</f>
        <v>0</v>
      </c>
      <c r="D16" s="67">
        <f>'Revenue Input'!D31</f>
        <v>0</v>
      </c>
      <c r="E16" s="67">
        <f>'Revenue Input'!E31</f>
        <v>0</v>
      </c>
      <c r="F16" s="67">
        <f>'Revenue Input'!F31</f>
        <v>0</v>
      </c>
      <c r="G16" s="67">
        <f>'Revenue Input'!G31</f>
        <v>0</v>
      </c>
    </row>
    <row r="17" spans="1:7" outlineLevel="1">
      <c r="B17" s="24" t="s">
        <v>6</v>
      </c>
      <c r="C17" s="67">
        <f>'Revenue Input'!C84</f>
        <v>0</v>
      </c>
      <c r="D17" s="67">
        <f>'Revenue Input'!D84</f>
        <v>0</v>
      </c>
      <c r="E17" s="67">
        <f>'Revenue Input'!E84</f>
        <v>0</v>
      </c>
      <c r="F17" s="67">
        <f>'Revenue Input'!F84</f>
        <v>0</v>
      </c>
      <c r="G17" s="67">
        <f>'Revenue Input'!G84</f>
        <v>0</v>
      </c>
    </row>
    <row r="18" spans="1:7">
      <c r="A18" s="23" t="s">
        <v>27</v>
      </c>
      <c r="C18" s="109">
        <f t="shared" ref="C18:G18" si="1">+SUM(C11:C17)</f>
        <v>105211.6</v>
      </c>
      <c r="D18" s="109">
        <f t="shared" si="1"/>
        <v>111787.325</v>
      </c>
      <c r="E18" s="109">
        <f t="shared" si="1"/>
        <v>118363.05</v>
      </c>
      <c r="F18" s="109">
        <f t="shared" si="1"/>
        <v>118363.05</v>
      </c>
      <c r="G18" s="109">
        <f t="shared" si="1"/>
        <v>118363.05</v>
      </c>
    </row>
    <row r="19" spans="1:7" outlineLevel="1">
      <c r="A19" s="23" t="s">
        <v>28</v>
      </c>
      <c r="C19" s="66"/>
      <c r="D19" s="66"/>
      <c r="E19" s="66"/>
      <c r="F19" s="66"/>
      <c r="G19" s="66"/>
    </row>
    <row r="20" spans="1:7" outlineLevel="1">
      <c r="B20" s="24" t="s">
        <v>7</v>
      </c>
      <c r="C20" s="67">
        <f>'Revenue Input'!C17*'General Info Input'!B31</f>
        <v>0</v>
      </c>
      <c r="D20" s="67">
        <f>'Revenue Input'!D17*'General Info Input'!C31</f>
        <v>0</v>
      </c>
      <c r="E20" s="67">
        <f>'Revenue Input'!E17*'General Info Input'!D31</f>
        <v>0</v>
      </c>
      <c r="F20" s="67">
        <f>'Revenue Input'!F17*'General Info Input'!E31</f>
        <v>0</v>
      </c>
      <c r="G20" s="67">
        <f>'Revenue Input'!G17*'General Info Input'!F31</f>
        <v>0</v>
      </c>
    </row>
    <row r="21" spans="1:7" outlineLevel="1">
      <c r="B21" s="24" t="s">
        <v>31</v>
      </c>
      <c r="C21" s="67">
        <f>SUM('Model Calculations'!C93:C94)</f>
        <v>0</v>
      </c>
      <c r="D21" s="67">
        <f>SUM('Model Calculations'!D93:D94)</f>
        <v>0</v>
      </c>
      <c r="E21" s="67">
        <f>SUM('Model Calculations'!E93:E94)</f>
        <v>0</v>
      </c>
      <c r="F21" s="67">
        <f>SUM('Model Calculations'!F93:F94)</f>
        <v>0</v>
      </c>
      <c r="G21" s="67">
        <f>SUM('Model Calculations'!G93:G94)</f>
        <v>0</v>
      </c>
    </row>
    <row r="22" spans="1:7" outlineLevel="1">
      <c r="B22" s="24" t="s">
        <v>32</v>
      </c>
      <c r="C22" s="67">
        <v>0</v>
      </c>
      <c r="D22" s="67">
        <v>5400</v>
      </c>
      <c r="E22" s="67">
        <f>(14.21*SUM('General Info Input'!C27:C29))+(42*'General Info Input'!C30)</f>
        <v>5435.3250000000007</v>
      </c>
      <c r="F22" s="67">
        <f>(14.21*SUM('General Info Input'!D27:D29))+(42*'General Info Input'!D30)</f>
        <v>5755.05</v>
      </c>
      <c r="G22" s="67">
        <f>(14.21*SUM('General Info Input'!E27:E29))+(42*'General Info Input'!E30)</f>
        <v>5755.05</v>
      </c>
    </row>
    <row r="23" spans="1:7" outlineLevel="1">
      <c r="B23" s="24" t="s">
        <v>33</v>
      </c>
      <c r="C23" s="67">
        <f>189*'General Info Input'!B31</f>
        <v>68040</v>
      </c>
      <c r="D23" s="67">
        <f>189*'General Info Input'!C31</f>
        <v>72292.5</v>
      </c>
      <c r="E23" s="67">
        <f>189*'General Info Input'!D31</f>
        <v>76545</v>
      </c>
      <c r="F23" s="67">
        <f>189*'General Info Input'!E31</f>
        <v>76545</v>
      </c>
      <c r="G23" s="67">
        <f>189*'General Info Input'!F31</f>
        <v>76545</v>
      </c>
    </row>
    <row r="24" spans="1:7" outlineLevel="1">
      <c r="B24" s="24" t="s">
        <v>34</v>
      </c>
      <c r="C24" s="67">
        <f>IF('General Info Input'!$D$46="Classroom Based Program",MIN(750*'Revenue Input'!C51,0.75*'Budget Summary'!C77),0)</f>
        <v>0</v>
      </c>
      <c r="D24" s="67">
        <f>IF('General Info Input'!$D$46="Classroom Based Program",MIN(750*'Revenue Input'!D51,0.75*'Budget Summary'!D77),0)</f>
        <v>0</v>
      </c>
      <c r="E24" s="67">
        <f>IF('General Info Input'!$D$46="Classroom Based Program",MIN(750*'Revenue Input'!E51,0.75*'Budget Summary'!E77),0)</f>
        <v>0</v>
      </c>
      <c r="F24" s="67">
        <f>IF('General Info Input'!$D$46="Classroom Based Program",MIN(750*'Revenue Input'!F51,0.75*'Budget Summary'!F77),0)</f>
        <v>0</v>
      </c>
      <c r="G24" s="67">
        <f>IF('General Info Input'!$D$46="Classroom Based Program",MIN(750*'Revenue Input'!G51,0.75*'Budget Summary'!G77),0)</f>
        <v>0</v>
      </c>
    </row>
    <row r="25" spans="1:7" outlineLevel="1">
      <c r="B25" s="24" t="s">
        <v>8</v>
      </c>
      <c r="C25" s="67">
        <f>'Revenue Input'!C85</f>
        <v>0</v>
      </c>
      <c r="D25" s="67">
        <f>'Revenue Input'!D85</f>
        <v>0</v>
      </c>
      <c r="E25" s="67">
        <f>'Revenue Input'!E85</f>
        <v>0</v>
      </c>
      <c r="F25" s="67">
        <f>'Revenue Input'!F85</f>
        <v>0</v>
      </c>
      <c r="G25" s="67">
        <f>'Revenue Input'!G85</f>
        <v>0</v>
      </c>
    </row>
    <row r="26" spans="1:7">
      <c r="A26" s="23" t="s">
        <v>28</v>
      </c>
      <c r="C26" s="109">
        <f t="shared" ref="C26:G26" si="2">+SUM(C20:C25)</f>
        <v>68040</v>
      </c>
      <c r="D26" s="109">
        <f t="shared" si="2"/>
        <v>77692.5</v>
      </c>
      <c r="E26" s="109">
        <f t="shared" si="2"/>
        <v>81980.324999999997</v>
      </c>
      <c r="F26" s="109">
        <f t="shared" si="2"/>
        <v>82300.05</v>
      </c>
      <c r="G26" s="109">
        <f t="shared" si="2"/>
        <v>82300.05</v>
      </c>
    </row>
    <row r="27" spans="1:7" outlineLevel="1">
      <c r="A27" s="23" t="s">
        <v>39</v>
      </c>
      <c r="C27" s="66"/>
      <c r="D27" s="66"/>
      <c r="E27" s="66"/>
      <c r="F27" s="66"/>
      <c r="G27" s="66"/>
    </row>
    <row r="28" spans="1:7" outlineLevel="1">
      <c r="B28" s="24" t="s">
        <v>9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</row>
    <row r="29" spans="1:7" outlineLevel="1">
      <c r="B29" s="24" t="s">
        <v>11</v>
      </c>
      <c r="C29" s="67">
        <f>'Revenue Input'!C78</f>
        <v>0</v>
      </c>
      <c r="D29" s="67">
        <f>'Revenue Input'!D78</f>
        <v>0</v>
      </c>
      <c r="E29" s="67">
        <f>'Revenue Input'!E78</f>
        <v>0</v>
      </c>
      <c r="F29" s="67">
        <f>'Revenue Input'!F78</f>
        <v>0</v>
      </c>
      <c r="G29" s="67">
        <f>'Revenue Input'!G78</f>
        <v>0</v>
      </c>
    </row>
    <row r="30" spans="1:7" outlineLevel="1">
      <c r="B30" s="24" t="s">
        <v>12</v>
      </c>
      <c r="C30" s="67">
        <f>'Revenue Input'!C79</f>
        <v>20000</v>
      </c>
      <c r="D30" s="67">
        <f>'Revenue Input'!D79</f>
        <v>20000</v>
      </c>
      <c r="E30" s="67">
        <f>'Revenue Input'!E79</f>
        <v>20000</v>
      </c>
      <c r="F30" s="67">
        <f>'Revenue Input'!F79</f>
        <v>20000</v>
      </c>
      <c r="G30" s="67">
        <f>'Revenue Input'!G79</f>
        <v>20000</v>
      </c>
    </row>
    <row r="31" spans="1:7" outlineLevel="1">
      <c r="B31" s="24" t="s">
        <v>10</v>
      </c>
      <c r="C31" s="110">
        <v>5000</v>
      </c>
      <c r="D31" s="110">
        <v>5000</v>
      </c>
      <c r="E31" s="110">
        <v>5000</v>
      </c>
      <c r="F31" s="110">
        <v>5000</v>
      </c>
      <c r="G31" s="110">
        <v>5000</v>
      </c>
    </row>
    <row r="32" spans="1:7">
      <c r="A32" s="23" t="s">
        <v>39</v>
      </c>
      <c r="C32" s="111">
        <f t="shared" ref="C32:G32" si="3">+SUM(C28:C31)</f>
        <v>25000</v>
      </c>
      <c r="D32" s="111">
        <f t="shared" si="3"/>
        <v>25000</v>
      </c>
      <c r="E32" s="111">
        <f t="shared" si="3"/>
        <v>25000</v>
      </c>
      <c r="F32" s="111">
        <f t="shared" si="3"/>
        <v>25000</v>
      </c>
      <c r="G32" s="111">
        <f t="shared" si="3"/>
        <v>25000</v>
      </c>
    </row>
    <row r="33" spans="1:7">
      <c r="A33" s="23" t="s">
        <v>0</v>
      </c>
      <c r="C33" s="107">
        <f t="shared" ref="C33:G33" si="4">+SUM(C9,C18,C26,C32)</f>
        <v>3189726.2415999998</v>
      </c>
      <c r="D33" s="107">
        <f t="shared" si="4"/>
        <v>3439499.2482000003</v>
      </c>
      <c r="E33" s="107">
        <f t="shared" si="4"/>
        <v>3740437.375</v>
      </c>
      <c r="F33" s="107">
        <f t="shared" si="4"/>
        <v>3740757.0999999996</v>
      </c>
      <c r="G33" s="107">
        <f t="shared" si="4"/>
        <v>3740757.0999999996</v>
      </c>
    </row>
    <row r="34" spans="1:7">
      <c r="C34" s="68"/>
      <c r="D34" s="68"/>
      <c r="E34" s="68"/>
      <c r="F34" s="68"/>
      <c r="G34" s="68"/>
    </row>
    <row r="35" spans="1:7">
      <c r="A35" s="23" t="s">
        <v>41</v>
      </c>
      <c r="C35" s="66"/>
      <c r="D35" s="66"/>
      <c r="E35" s="66"/>
      <c r="F35" s="66"/>
      <c r="G35" s="66"/>
    </row>
    <row r="36" spans="1:7" outlineLevel="1">
      <c r="A36" s="23" t="s">
        <v>42</v>
      </c>
      <c r="C36" s="66"/>
      <c r="D36" s="66"/>
      <c r="E36" s="66"/>
      <c r="F36" s="66"/>
      <c r="G36" s="66"/>
    </row>
    <row r="37" spans="1:7" outlineLevel="1">
      <c r="B37" s="24" t="s">
        <v>43</v>
      </c>
      <c r="C37" s="67">
        <f>'Expense Input'!C9</f>
        <v>1009128</v>
      </c>
      <c r="D37" s="67">
        <f>'Expense Input'!D9</f>
        <v>1143235.7999999998</v>
      </c>
      <c r="E37" s="67">
        <f>'Expense Input'!E9</f>
        <v>1283418.2849999997</v>
      </c>
      <c r="F37" s="67">
        <f>'Expense Input'!F9</f>
        <v>1372699.5569999998</v>
      </c>
      <c r="G37" s="67">
        <f>'Expense Input'!G9</f>
        <v>1407017.0459249998</v>
      </c>
    </row>
    <row r="38" spans="1:7" outlineLevel="1">
      <c r="B38" s="24" t="s">
        <v>131</v>
      </c>
      <c r="C38" s="67">
        <f>'Expense Input'!C11</f>
        <v>20000</v>
      </c>
      <c r="D38" s="67">
        <f>'Expense Input'!D11</f>
        <v>20000</v>
      </c>
      <c r="E38" s="67">
        <f>'Expense Input'!E11</f>
        <v>20000</v>
      </c>
      <c r="F38" s="67">
        <f>'Expense Input'!F11</f>
        <v>20000</v>
      </c>
      <c r="G38" s="67">
        <f>'Expense Input'!G11</f>
        <v>20000</v>
      </c>
    </row>
    <row r="39" spans="1:7" outlineLevel="1">
      <c r="B39" s="24" t="s">
        <v>44</v>
      </c>
      <c r="C39" s="67">
        <f>'Expense Input'!C15</f>
        <v>0</v>
      </c>
      <c r="D39" s="67">
        <f>'Expense Input'!D15</f>
        <v>0</v>
      </c>
      <c r="E39" s="67">
        <f>'Expense Input'!E15</f>
        <v>0</v>
      </c>
      <c r="F39" s="67">
        <f>'Expense Input'!F15</f>
        <v>0</v>
      </c>
      <c r="G39" s="67">
        <f>'Expense Input'!G15</f>
        <v>0</v>
      </c>
    </row>
    <row r="40" spans="1:7" outlineLevel="1">
      <c r="B40" s="24" t="s">
        <v>45</v>
      </c>
      <c r="C40" s="67">
        <f>'Expense Input'!C19</f>
        <v>220000</v>
      </c>
      <c r="D40" s="67">
        <f>'Expense Input'!D19</f>
        <v>225499.99999999997</v>
      </c>
      <c r="E40" s="67">
        <f>'Expense Input'!E19</f>
        <v>231137.49999999994</v>
      </c>
      <c r="F40" s="67">
        <f>'Expense Input'!F19</f>
        <v>236915.93749999991</v>
      </c>
      <c r="G40" s="67">
        <f>'Expense Input'!G19</f>
        <v>242838.83593749988</v>
      </c>
    </row>
    <row r="41" spans="1:7" outlineLevel="1">
      <c r="B41" s="24" t="s">
        <v>288</v>
      </c>
      <c r="C41" s="67">
        <f>'Expense Input'!C23</f>
        <v>0</v>
      </c>
      <c r="D41" s="67">
        <f>'Expense Input'!D23</f>
        <v>0</v>
      </c>
      <c r="E41" s="67">
        <f>'Expense Input'!E23</f>
        <v>0</v>
      </c>
      <c r="F41" s="67">
        <f>'Expense Input'!F23</f>
        <v>0</v>
      </c>
      <c r="G41" s="67">
        <f>'Expense Input'!G23</f>
        <v>0</v>
      </c>
    </row>
    <row r="42" spans="1:7" outlineLevel="1">
      <c r="B42" s="24" t="s">
        <v>13</v>
      </c>
      <c r="C42" s="67">
        <f>'Expense Input'!C27</f>
        <v>0</v>
      </c>
      <c r="D42" s="67">
        <f>'Expense Input'!D27</f>
        <v>0</v>
      </c>
      <c r="E42" s="67">
        <f>'Expense Input'!E27</f>
        <v>0</v>
      </c>
      <c r="F42" s="67">
        <f>'Expense Input'!F27</f>
        <v>0</v>
      </c>
      <c r="G42" s="67">
        <f>'Expense Input'!G27</f>
        <v>0</v>
      </c>
    </row>
    <row r="43" spans="1:7">
      <c r="A43" s="23" t="s">
        <v>42</v>
      </c>
      <c r="C43" s="109">
        <f t="shared" ref="C43:G43" si="5">+SUM(C37:C42)</f>
        <v>1249128</v>
      </c>
      <c r="D43" s="109">
        <f t="shared" si="5"/>
        <v>1388735.7999999998</v>
      </c>
      <c r="E43" s="109">
        <f t="shared" si="5"/>
        <v>1534555.7849999997</v>
      </c>
      <c r="F43" s="109">
        <f t="shared" si="5"/>
        <v>1629615.4944999998</v>
      </c>
      <c r="G43" s="109">
        <f t="shared" si="5"/>
        <v>1669855.8818624998</v>
      </c>
    </row>
    <row r="44" spans="1:7" outlineLevel="1">
      <c r="A44" s="23" t="s">
        <v>46</v>
      </c>
      <c r="C44" s="66"/>
      <c r="D44" s="66"/>
      <c r="E44" s="66"/>
      <c r="F44" s="66"/>
      <c r="G44" s="66"/>
    </row>
    <row r="45" spans="1:7" outlineLevel="1">
      <c r="B45" s="24" t="s">
        <v>47</v>
      </c>
      <c r="C45" s="67">
        <f>'Expense Input'!C37</f>
        <v>94080</v>
      </c>
      <c r="D45" s="67">
        <f>'Expense Input'!D37</f>
        <v>128575.99999999999</v>
      </c>
      <c r="E45" s="67">
        <f>'Expense Input'!E37</f>
        <v>131790.39999999997</v>
      </c>
      <c r="F45" s="67">
        <f>'Expense Input'!F37</f>
        <v>135085.15999999995</v>
      </c>
      <c r="G45" s="67">
        <f>'Expense Input'!G37</f>
        <v>138462.28899999993</v>
      </c>
    </row>
    <row r="46" spans="1:7" outlineLevel="1">
      <c r="B46" s="24" t="s">
        <v>14</v>
      </c>
      <c r="C46" s="67">
        <f>'Expense Input'!C41</f>
        <v>62720</v>
      </c>
      <c r="D46" s="67">
        <f>'Expense Input'!D41</f>
        <v>64287.999999999993</v>
      </c>
      <c r="E46" s="67">
        <f>'Expense Input'!E41</f>
        <v>65895.199999999983</v>
      </c>
      <c r="F46" s="67">
        <f>'Expense Input'!F41</f>
        <v>67542.579999999973</v>
      </c>
      <c r="G46" s="67">
        <f>'Expense Input'!G41</f>
        <v>69231.144499999966</v>
      </c>
    </row>
    <row r="47" spans="1:7" outlineLevel="1">
      <c r="B47" s="24" t="s">
        <v>48</v>
      </c>
      <c r="C47" s="67">
        <f>'Expense Input'!C45</f>
        <v>0</v>
      </c>
      <c r="D47" s="67">
        <f>'Expense Input'!D45</f>
        <v>0</v>
      </c>
      <c r="E47" s="67">
        <f>'Expense Input'!E45</f>
        <v>0</v>
      </c>
      <c r="F47" s="67">
        <f>'Expense Input'!F45</f>
        <v>0</v>
      </c>
      <c r="G47" s="67">
        <f>'Expense Input'!G45</f>
        <v>0</v>
      </c>
    </row>
    <row r="48" spans="1:7" outlineLevel="1">
      <c r="B48" s="24" t="s">
        <v>49</v>
      </c>
      <c r="C48" s="67">
        <f>'Expense Input'!C49</f>
        <v>129360</v>
      </c>
      <c r="D48" s="67">
        <f>'Expense Input'!D49</f>
        <v>132593.99999999997</v>
      </c>
      <c r="E48" s="67">
        <f>'Expense Input'!E49</f>
        <v>135908.84999999998</v>
      </c>
      <c r="F48" s="67">
        <f>'Expense Input'!F49</f>
        <v>139306.57124999995</v>
      </c>
      <c r="G48" s="67">
        <f>'Expense Input'!G49</f>
        <v>142789.23553124993</v>
      </c>
    </row>
    <row r="49" spans="1:7" outlineLevel="1">
      <c r="B49" s="24" t="s">
        <v>294</v>
      </c>
      <c r="C49" s="67">
        <f>'Expense Input'!C53</f>
        <v>0</v>
      </c>
      <c r="D49" s="67">
        <f>'Expense Input'!D53</f>
        <v>0</v>
      </c>
      <c r="E49" s="67">
        <f>'Expense Input'!E53</f>
        <v>0</v>
      </c>
      <c r="F49" s="67">
        <f>'Expense Input'!F53</f>
        <v>0</v>
      </c>
      <c r="G49" s="67">
        <f>'Expense Input'!G53</f>
        <v>0</v>
      </c>
    </row>
    <row r="50" spans="1:7" outlineLevel="1">
      <c r="B50" s="24" t="s">
        <v>50</v>
      </c>
      <c r="C50" s="67">
        <f>'Expense Input'!C57</f>
        <v>72520</v>
      </c>
      <c r="D50" s="67">
        <f>'Expense Input'!D57</f>
        <v>74333</v>
      </c>
      <c r="E50" s="67">
        <f>'Expense Input'!E57</f>
        <v>76191.324999999997</v>
      </c>
      <c r="F50" s="67">
        <f>'Expense Input'!F57</f>
        <v>78096.108124999984</v>
      </c>
      <c r="G50" s="67">
        <f>'Expense Input'!G57</f>
        <v>80048.51082812497</v>
      </c>
    </row>
    <row r="51" spans="1:7">
      <c r="A51" s="23" t="s">
        <v>46</v>
      </c>
      <c r="C51" s="109">
        <f t="shared" ref="C51:G51" si="6">+SUM(C45:C50)</f>
        <v>358680</v>
      </c>
      <c r="D51" s="109">
        <f t="shared" si="6"/>
        <v>399790.99999999994</v>
      </c>
      <c r="E51" s="109">
        <f t="shared" si="6"/>
        <v>409785.77499999997</v>
      </c>
      <c r="F51" s="109">
        <f t="shared" si="6"/>
        <v>420030.41937499988</v>
      </c>
      <c r="G51" s="109">
        <f t="shared" si="6"/>
        <v>430531.17985937477</v>
      </c>
    </row>
    <row r="52" spans="1:7" outlineLevel="1">
      <c r="A52" s="23" t="s">
        <v>51</v>
      </c>
      <c r="C52" s="66"/>
      <c r="D52" s="66"/>
      <c r="E52" s="66"/>
      <c r="F52" s="66"/>
      <c r="G52" s="66"/>
    </row>
    <row r="53" spans="1:7" outlineLevel="1">
      <c r="B53" s="24" t="s">
        <v>15</v>
      </c>
      <c r="C53" s="67">
        <f>'Model Calculations'!C16</f>
        <v>0</v>
      </c>
      <c r="D53" s="67">
        <f>'Model Calculations'!D16</f>
        <v>0</v>
      </c>
      <c r="E53" s="67">
        <f>'Model Calculations'!E16</f>
        <v>0</v>
      </c>
      <c r="F53" s="67">
        <f>'Model Calculations'!F16</f>
        <v>0</v>
      </c>
      <c r="G53" s="67">
        <f>'Model Calculations'!G16</f>
        <v>0</v>
      </c>
    </row>
    <row r="54" spans="1:7" outlineLevel="1">
      <c r="B54" s="24" t="s">
        <v>16</v>
      </c>
      <c r="C54" s="67">
        <f>'Model Calculations'!C24</f>
        <v>0</v>
      </c>
      <c r="D54" s="67">
        <f>'Model Calculations'!D24</f>
        <v>0</v>
      </c>
      <c r="E54" s="67">
        <f>'Model Calculations'!E24</f>
        <v>0</v>
      </c>
      <c r="F54" s="67">
        <f>'Model Calculations'!F24</f>
        <v>0</v>
      </c>
      <c r="G54" s="67">
        <f>'Model Calculations'!G24</f>
        <v>0</v>
      </c>
    </row>
    <row r="55" spans="1:7" outlineLevel="1">
      <c r="B55" s="24" t="s">
        <v>17</v>
      </c>
      <c r="C55" s="67">
        <f>'Model Calculations'!C75</f>
        <v>99684.096000000005</v>
      </c>
      <c r="D55" s="67">
        <f>'Model Calculations'!D75</f>
        <v>110888.66159999999</v>
      </c>
      <c r="E55" s="67">
        <f>'Model Calculations'!E75</f>
        <v>120549.17671999997</v>
      </c>
      <c r="F55" s="67">
        <f>'Model Calculations'!F75</f>
        <v>127078.04666024997</v>
      </c>
      <c r="G55" s="67">
        <f>'Model Calculations'!G75</f>
        <v>130223.99782675621</v>
      </c>
    </row>
    <row r="56" spans="1:7" outlineLevel="1">
      <c r="B56" s="24" t="s">
        <v>55</v>
      </c>
      <c r="C56" s="67">
        <f>'Model Calculations'!C78</f>
        <v>23313.216</v>
      </c>
      <c r="D56" s="67">
        <f>'Model Calculations'!D78</f>
        <v>25933.638599999998</v>
      </c>
      <c r="E56" s="67">
        <f>'Model Calculations'!E78</f>
        <v>28192.952619999996</v>
      </c>
      <c r="F56" s="67">
        <f>'Model Calculations'!F78</f>
        <v>29719.865751187495</v>
      </c>
      <c r="G56" s="67">
        <f>'Model Calculations'!G78</f>
        <v>30455.612394967182</v>
      </c>
    </row>
    <row r="57" spans="1:7" outlineLevel="1">
      <c r="B57" s="24" t="s">
        <v>56</v>
      </c>
      <c r="C57" s="67">
        <f>'Model Calculations'!C65</f>
        <v>186000</v>
      </c>
      <c r="D57" s="67">
        <f>'Model Calculations'!D65</f>
        <v>224400.00000000003</v>
      </c>
      <c r="E57" s="67">
        <f>'Model Calculations'!E65</f>
        <v>261360.00000000003</v>
      </c>
      <c r="F57" s="67">
        <f>'Model Calculations'!F65</f>
        <v>295482.00000000006</v>
      </c>
      <c r="G57" s="67">
        <f>'Model Calculations'!G65</f>
        <v>325030.20000000013</v>
      </c>
    </row>
    <row r="58" spans="1:7" outlineLevel="1">
      <c r="B58" s="24" t="s">
        <v>57</v>
      </c>
      <c r="C58" s="67">
        <f>'Model Calculations'!C81</f>
        <v>803.904</v>
      </c>
      <c r="D58" s="67">
        <f>'Model Calculations'!D81</f>
        <v>894.26339999999993</v>
      </c>
      <c r="E58" s="67">
        <f>'Model Calculations'!E81</f>
        <v>972.17077999999981</v>
      </c>
      <c r="F58" s="67">
        <f>'Model Calculations'!F81</f>
        <v>1024.8229569374998</v>
      </c>
      <c r="G58" s="67">
        <f>'Model Calculations'!G81</f>
        <v>1050.1935308609372</v>
      </c>
    </row>
    <row r="59" spans="1:7" outlineLevel="1">
      <c r="B59" s="24" t="s">
        <v>18</v>
      </c>
      <c r="C59" s="67">
        <f>'Model Calculations'!C84</f>
        <v>33763.968000000001</v>
      </c>
      <c r="D59" s="67">
        <f>'Model Calculations'!D84</f>
        <v>39347.589599999992</v>
      </c>
      <c r="E59" s="67">
        <f>'Model Calculations'!E84</f>
        <v>44719.855879999988</v>
      </c>
      <c r="F59" s="67">
        <f>'Model Calculations'!F84</f>
        <v>49191.501932999992</v>
      </c>
      <c r="G59" s="67">
        <f>'Model Calculations'!G84</f>
        <v>52509.676543046866</v>
      </c>
    </row>
    <row r="60" spans="1:7" outlineLevel="1">
      <c r="B60" s="24" t="s">
        <v>19</v>
      </c>
      <c r="C60" s="67">
        <f>'Model Calculations'!C38</f>
        <v>80390.399999999994</v>
      </c>
      <c r="D60" s="67">
        <f>'Model Calculations'!D38</f>
        <v>89426.339999999982</v>
      </c>
      <c r="E60" s="67">
        <f>'Model Calculations'!E38</f>
        <v>97217.077999999994</v>
      </c>
      <c r="F60" s="67">
        <f>'Model Calculations'!F38</f>
        <v>102482.29569375</v>
      </c>
      <c r="G60" s="67">
        <f>'Model Calculations'!G38</f>
        <v>105019.35308609372</v>
      </c>
    </row>
    <row r="61" spans="1:7" outlineLevel="1">
      <c r="B61" s="24" t="s">
        <v>184</v>
      </c>
      <c r="C61" s="67">
        <f>'Model Calculations'!C52</f>
        <v>0</v>
      </c>
      <c r="D61" s="67">
        <f>'Model Calculations'!D52</f>
        <v>0</v>
      </c>
      <c r="E61" s="67">
        <f>'Model Calculations'!E52</f>
        <v>0</v>
      </c>
      <c r="F61" s="67">
        <f>'Model Calculations'!F52</f>
        <v>0</v>
      </c>
      <c r="G61" s="67">
        <f>'Model Calculations'!G52</f>
        <v>0</v>
      </c>
    </row>
    <row r="62" spans="1:7">
      <c r="A62" s="23" t="s">
        <v>51</v>
      </c>
      <c r="C62" s="109">
        <f t="shared" ref="C62:G62" si="7">+SUM(C53:C61)</f>
        <v>423955.58400000003</v>
      </c>
      <c r="D62" s="109">
        <f t="shared" si="7"/>
        <v>490890.49320000003</v>
      </c>
      <c r="E62" s="109">
        <f t="shared" si="7"/>
        <v>553011.23399999994</v>
      </c>
      <c r="F62" s="109">
        <f t="shared" si="7"/>
        <v>604978.53299512493</v>
      </c>
      <c r="G62" s="109">
        <f t="shared" si="7"/>
        <v>644289.03338172496</v>
      </c>
    </row>
    <row r="63" spans="1:7" outlineLevel="1">
      <c r="A63" s="23" t="s">
        <v>52</v>
      </c>
      <c r="C63" s="66"/>
      <c r="D63" s="66"/>
      <c r="E63" s="66"/>
      <c r="F63" s="66"/>
      <c r="G63" s="66"/>
    </row>
    <row r="64" spans="1:7" outlineLevel="1">
      <c r="B64" s="24" t="s">
        <v>63</v>
      </c>
      <c r="C64" s="67">
        <f>'Expense Input'!F100</f>
        <v>50000</v>
      </c>
      <c r="D64" s="67">
        <v>50000</v>
      </c>
      <c r="E64" s="67">
        <v>50000</v>
      </c>
      <c r="F64" s="67">
        <v>50000</v>
      </c>
      <c r="G64" s="67">
        <v>50000</v>
      </c>
    </row>
    <row r="65" spans="1:7" outlineLevel="1">
      <c r="B65" s="24" t="s">
        <v>64</v>
      </c>
      <c r="C65" s="67">
        <f>'Expense Input'!F101</f>
        <v>20000</v>
      </c>
      <c r="D65" s="67">
        <v>20000</v>
      </c>
      <c r="E65" s="67">
        <v>20000</v>
      </c>
      <c r="F65" s="67">
        <v>20000</v>
      </c>
      <c r="G65" s="67">
        <v>20000</v>
      </c>
    </row>
    <row r="66" spans="1:7" outlineLevel="1">
      <c r="B66" s="24" t="s">
        <v>20</v>
      </c>
      <c r="C66" s="67">
        <f>'Expense Input'!F102</f>
        <v>80000</v>
      </c>
      <c r="D66" s="67">
        <v>80000</v>
      </c>
      <c r="E66" s="67">
        <v>80000</v>
      </c>
      <c r="F66" s="67">
        <v>80000</v>
      </c>
      <c r="G66" s="67">
        <v>80000</v>
      </c>
    </row>
    <row r="67" spans="1:7" outlineLevel="1">
      <c r="B67" s="24" t="s">
        <v>21</v>
      </c>
      <c r="C67" s="67">
        <v>5000</v>
      </c>
      <c r="D67" s="67">
        <v>5000</v>
      </c>
      <c r="E67" s="67">
        <v>5000</v>
      </c>
      <c r="F67" s="67">
        <v>5000</v>
      </c>
      <c r="G67" s="67">
        <v>5000</v>
      </c>
    </row>
    <row r="68" spans="1:7" outlineLevel="1">
      <c r="B68" s="24" t="s">
        <v>53</v>
      </c>
      <c r="C68" s="67">
        <f>'Expense Input'!F104</f>
        <v>0</v>
      </c>
      <c r="D68" s="67">
        <f>'Expense Input'!G104</f>
        <v>0</v>
      </c>
      <c r="E68" s="67">
        <f>'Expense Input'!H104</f>
        <v>0</v>
      </c>
      <c r="F68" s="67">
        <f>'Expense Input'!I104</f>
        <v>0</v>
      </c>
      <c r="G68" s="67">
        <f>'Expense Input'!J104</f>
        <v>0</v>
      </c>
    </row>
    <row r="69" spans="1:7" outlineLevel="1">
      <c r="B69" s="24" t="s">
        <v>54</v>
      </c>
      <c r="C69" s="67">
        <f>1.03*SUM(C12,C21,C28)</f>
        <v>0</v>
      </c>
      <c r="D69" s="67">
        <f t="shared" ref="D69:G69" si="8">1.03*SUM(D12,D21,D28)</f>
        <v>0</v>
      </c>
      <c r="E69" s="67">
        <f t="shared" si="8"/>
        <v>0</v>
      </c>
      <c r="F69" s="67">
        <f t="shared" si="8"/>
        <v>0</v>
      </c>
      <c r="G69" s="67">
        <f t="shared" si="8"/>
        <v>0</v>
      </c>
    </row>
    <row r="70" spans="1:7">
      <c r="A70" s="23" t="s">
        <v>52</v>
      </c>
      <c r="C70" s="109">
        <f t="shared" ref="C70:G70" si="9">+SUM(C64:C69)</f>
        <v>155000</v>
      </c>
      <c r="D70" s="109">
        <f t="shared" si="9"/>
        <v>155000</v>
      </c>
      <c r="E70" s="109">
        <f t="shared" si="9"/>
        <v>155000</v>
      </c>
      <c r="F70" s="109">
        <f t="shared" si="9"/>
        <v>155000</v>
      </c>
      <c r="G70" s="109">
        <f t="shared" si="9"/>
        <v>155000</v>
      </c>
    </row>
    <row r="71" spans="1:7" outlineLevel="1">
      <c r="A71" s="23" t="s">
        <v>58</v>
      </c>
      <c r="C71" s="66"/>
      <c r="D71" s="66"/>
      <c r="E71" s="66"/>
      <c r="F71" s="66"/>
      <c r="G71" s="66"/>
    </row>
    <row r="72" spans="1:7" outlineLevel="1">
      <c r="B72" s="24" t="s">
        <v>22</v>
      </c>
      <c r="C72" s="67">
        <f>'Expense Input'!F133</f>
        <v>3000</v>
      </c>
      <c r="D72" s="67">
        <v>3000</v>
      </c>
      <c r="E72" s="67">
        <v>3000</v>
      </c>
      <c r="F72" s="67">
        <v>3000</v>
      </c>
      <c r="G72" s="67">
        <v>3000</v>
      </c>
    </row>
    <row r="73" spans="1:7" outlineLevel="1">
      <c r="B73" s="24" t="s">
        <v>23</v>
      </c>
      <c r="C73" s="67">
        <v>2500</v>
      </c>
      <c r="D73" s="67">
        <v>2500</v>
      </c>
      <c r="E73" s="67">
        <v>2500</v>
      </c>
      <c r="F73" s="67">
        <v>2500</v>
      </c>
      <c r="G73" s="67">
        <v>2500</v>
      </c>
    </row>
    <row r="74" spans="1:7" outlineLevel="1">
      <c r="B74" s="24" t="s">
        <v>269</v>
      </c>
      <c r="C74" s="67">
        <f>'Expense Input'!F135</f>
        <v>35000</v>
      </c>
      <c r="D74" s="67">
        <v>35000</v>
      </c>
      <c r="E74" s="67">
        <v>35000</v>
      </c>
      <c r="F74" s="67">
        <v>35000</v>
      </c>
      <c r="G74" s="67">
        <v>35000</v>
      </c>
    </row>
    <row r="75" spans="1:7" outlineLevel="1">
      <c r="B75" s="24" t="s">
        <v>60</v>
      </c>
      <c r="C75" s="67">
        <f>'Expense Input'!F158</f>
        <v>14400</v>
      </c>
      <c r="D75" s="67">
        <v>14400</v>
      </c>
      <c r="E75" s="67">
        <v>14400</v>
      </c>
      <c r="F75" s="67">
        <v>14400</v>
      </c>
      <c r="G75" s="67">
        <v>14400</v>
      </c>
    </row>
    <row r="76" spans="1:7" outlineLevel="1">
      <c r="B76" s="24" t="s">
        <v>61</v>
      </c>
      <c r="C76" s="67">
        <f>'Expense Input'!F159</f>
        <v>48000</v>
      </c>
      <c r="D76" s="67">
        <v>48000</v>
      </c>
      <c r="E76" s="67">
        <v>48000</v>
      </c>
      <c r="F76" s="67">
        <v>48000</v>
      </c>
      <c r="G76" s="67">
        <v>48000</v>
      </c>
    </row>
    <row r="77" spans="1:7" ht="12.5" customHeight="1" outlineLevel="1">
      <c r="B77" s="24" t="s">
        <v>211</v>
      </c>
      <c r="C77" s="67">
        <f>'Expense Input'!F152</f>
        <v>0</v>
      </c>
      <c r="D77" s="67">
        <f>'Expense Input'!G152</f>
        <v>0</v>
      </c>
      <c r="E77" s="67">
        <f>'Expense Input'!H152</f>
        <v>0</v>
      </c>
      <c r="F77" s="67">
        <f>'Expense Input'!I152</f>
        <v>0</v>
      </c>
      <c r="G77" s="67">
        <f>'Expense Input'!J152</f>
        <v>0</v>
      </c>
    </row>
    <row r="78" spans="1:7" ht="12.5" customHeight="1" outlineLevel="1">
      <c r="B78" s="24" t="s">
        <v>212</v>
      </c>
      <c r="C78" s="67">
        <f>'Expense Input'!F154</f>
        <v>96000</v>
      </c>
      <c r="D78" s="67">
        <v>96000</v>
      </c>
      <c r="E78" s="67">
        <v>96000</v>
      </c>
      <c r="F78" s="67">
        <v>96000</v>
      </c>
      <c r="G78" s="67">
        <v>96000</v>
      </c>
    </row>
    <row r="79" spans="1:7" outlineLevel="1">
      <c r="B79" s="24" t="s">
        <v>62</v>
      </c>
      <c r="C79" s="67">
        <f>'Expense Input'!F151</f>
        <v>0</v>
      </c>
      <c r="D79" s="67">
        <f>'Expense Input'!G151</f>
        <v>0</v>
      </c>
      <c r="E79" s="67">
        <f>'Expense Input'!H151</f>
        <v>0</v>
      </c>
      <c r="F79" s="67">
        <f>'Expense Input'!I151</f>
        <v>0</v>
      </c>
      <c r="G79" s="67">
        <f>'Expense Input'!J151</f>
        <v>0</v>
      </c>
    </row>
    <row r="80" spans="1:7" outlineLevel="1">
      <c r="B80" s="24" t="s">
        <v>258</v>
      </c>
      <c r="C80" s="67">
        <f>'Expense Input'!F160</f>
        <v>6000</v>
      </c>
      <c r="D80" s="67">
        <v>6000</v>
      </c>
      <c r="E80" s="67">
        <v>6000</v>
      </c>
      <c r="F80" s="67">
        <v>6000</v>
      </c>
      <c r="G80" s="67">
        <v>6000</v>
      </c>
    </row>
    <row r="81" spans="1:7" outlineLevel="1">
      <c r="B81" s="24" t="s">
        <v>71</v>
      </c>
      <c r="C81" s="67">
        <f>'Expense Input'!F136</f>
        <v>45000</v>
      </c>
      <c r="D81" s="67">
        <v>45000</v>
      </c>
      <c r="E81" s="67">
        <v>45000</v>
      </c>
      <c r="F81" s="67">
        <v>45000</v>
      </c>
      <c r="G81" s="67">
        <v>45000</v>
      </c>
    </row>
    <row r="82" spans="1:7" outlineLevel="1">
      <c r="B82" s="24" t="s">
        <v>70</v>
      </c>
      <c r="C82" s="67">
        <v>500</v>
      </c>
      <c r="D82" s="67">
        <v>500</v>
      </c>
      <c r="E82" s="67">
        <v>500</v>
      </c>
      <c r="F82" s="67">
        <v>500</v>
      </c>
      <c r="G82" s="67">
        <v>500</v>
      </c>
    </row>
    <row r="83" spans="1:7" outlineLevel="1">
      <c r="B83" s="24" t="s">
        <v>69</v>
      </c>
      <c r="C83" s="67">
        <v>5000</v>
      </c>
      <c r="D83" s="67">
        <v>5000</v>
      </c>
      <c r="E83" s="67">
        <v>5000</v>
      </c>
      <c r="F83" s="67">
        <v>5000</v>
      </c>
      <c r="G83" s="67">
        <v>5000</v>
      </c>
    </row>
    <row r="84" spans="1:7" outlineLevel="1">
      <c r="B84" s="24" t="s">
        <v>72</v>
      </c>
      <c r="C84" s="67">
        <v>14500</v>
      </c>
      <c r="D84" s="67">
        <v>14500</v>
      </c>
      <c r="E84" s="67">
        <v>14500</v>
      </c>
      <c r="F84" s="67">
        <v>14500</v>
      </c>
      <c r="G84" s="67">
        <v>14500</v>
      </c>
    </row>
    <row r="85" spans="1:7" outlineLevel="1">
      <c r="B85" s="24" t="s">
        <v>74</v>
      </c>
      <c r="C85" s="67">
        <f>'Expense Input'!F147</f>
        <v>0</v>
      </c>
      <c r="D85" s="67">
        <f>'Expense Input'!G147</f>
        <v>0</v>
      </c>
      <c r="E85" s="67">
        <f>'Expense Input'!H147</f>
        <v>0</v>
      </c>
      <c r="F85" s="67">
        <f>'Expense Input'!I147</f>
        <v>0</v>
      </c>
      <c r="G85" s="67">
        <f>'Expense Input'!J147</f>
        <v>0</v>
      </c>
    </row>
    <row r="86" spans="1:7" outlineLevel="1">
      <c r="B86" s="24" t="s">
        <v>24</v>
      </c>
      <c r="C86" s="67">
        <f>'Expense Input'!F140</f>
        <v>0</v>
      </c>
      <c r="D86" s="67">
        <f>'Expense Input'!G140</f>
        <v>0</v>
      </c>
      <c r="E86" s="67">
        <f>'Expense Input'!H140</f>
        <v>0</v>
      </c>
      <c r="F86" s="67">
        <f>'Expense Input'!I140</f>
        <v>0</v>
      </c>
      <c r="G86" s="67">
        <f>'Expense Input'!J140</f>
        <v>0</v>
      </c>
    </row>
    <row r="87" spans="1:7" outlineLevel="1">
      <c r="B87" s="24" t="s">
        <v>272</v>
      </c>
      <c r="C87" s="67">
        <f>'Expense Input'!B170</f>
        <v>0</v>
      </c>
      <c r="D87" s="67">
        <f>'Expense Input'!C170</f>
        <v>0</v>
      </c>
      <c r="E87" s="67">
        <f>'Expense Input'!D170</f>
        <v>0</v>
      </c>
      <c r="F87" s="67">
        <f>'Expense Input'!E170</f>
        <v>0</v>
      </c>
      <c r="G87" s="67">
        <f>'Expense Input'!F170</f>
        <v>0</v>
      </c>
    </row>
    <row r="88" spans="1:7" outlineLevel="1">
      <c r="B88" s="24" t="s">
        <v>73</v>
      </c>
      <c r="C88" s="67">
        <v>16000</v>
      </c>
      <c r="D88" s="67">
        <v>16000</v>
      </c>
      <c r="E88" s="67">
        <v>16000</v>
      </c>
      <c r="F88" s="67">
        <v>16000</v>
      </c>
      <c r="G88" s="67">
        <v>16000</v>
      </c>
    </row>
    <row r="89" spans="1:7" outlineLevel="1">
      <c r="B89" s="24" t="s">
        <v>75</v>
      </c>
      <c r="C89" s="67">
        <v>6000</v>
      </c>
      <c r="D89" s="67">
        <v>6000</v>
      </c>
      <c r="E89" s="67">
        <v>6000</v>
      </c>
      <c r="F89" s="67">
        <v>6000</v>
      </c>
      <c r="G89" s="67">
        <v>6000</v>
      </c>
    </row>
    <row r="90" spans="1:7" outlineLevel="1">
      <c r="B90" s="24" t="s">
        <v>66</v>
      </c>
      <c r="C90" s="67">
        <f>SUM('Cash Flow Input'!D119:O119,'Cash Flow Input'!D130:O130,'Cash Flow Input'!D141:O141)</f>
        <v>0</v>
      </c>
      <c r="D90" s="67">
        <f>SUM('Cash Flow Input'!T119:AE119,'Cash Flow Input'!T130:AE130,'Cash Flow Input'!T141:AE141)</f>
        <v>0</v>
      </c>
      <c r="E90" s="67">
        <f>SUM('Cash Flow Input'!AJ119:AU119,'Cash Flow Input'!AJ130:AU130,'Cash Flow Input'!AJ141:AU141)</f>
        <v>0</v>
      </c>
      <c r="F90" s="67">
        <f>+E90</f>
        <v>0</v>
      </c>
      <c r="G90" s="67">
        <f>+F90</f>
        <v>0</v>
      </c>
    </row>
    <row r="91" spans="1:7" outlineLevel="1">
      <c r="B91" s="24" t="s">
        <v>65</v>
      </c>
      <c r="C91" s="67">
        <v>310758</v>
      </c>
      <c r="D91" s="67">
        <v>321000</v>
      </c>
      <c r="E91" s="67">
        <v>342000</v>
      </c>
      <c r="F91" s="67">
        <v>365000</v>
      </c>
      <c r="G91" s="67">
        <v>365000</v>
      </c>
    </row>
    <row r="92" spans="1:7" outlineLevel="1">
      <c r="B92" s="24" t="s">
        <v>67</v>
      </c>
      <c r="C92" s="67">
        <f>'Expense Input'!F161</f>
        <v>6000</v>
      </c>
      <c r="D92" s="67">
        <v>6000</v>
      </c>
      <c r="E92" s="67">
        <v>6000</v>
      </c>
      <c r="F92" s="67">
        <v>6000</v>
      </c>
      <c r="G92" s="67">
        <v>6000</v>
      </c>
    </row>
    <row r="93" spans="1:7" outlineLevel="1">
      <c r="B93" s="24" t="s">
        <v>25</v>
      </c>
      <c r="C93" s="67">
        <f>'Expense Input'!$C$176*'Budget Summary'!C9</f>
        <v>89744.239247999983</v>
      </c>
      <c r="D93" s="67">
        <f>'Expense Input'!$C$176*'Budget Summary'!D9</f>
        <v>96750.582695999998</v>
      </c>
      <c r="E93" s="67">
        <f>'Expense Input'!$C$176*'Budget Summary'!E9</f>
        <v>105452.81999999999</v>
      </c>
      <c r="F93" s="67">
        <f>'Expense Input'!$C$176*'Budget Summary'!F9</f>
        <v>105452.81999999999</v>
      </c>
      <c r="G93" s="67">
        <f>'Expense Input'!$C$176*'Budget Summary'!G9</f>
        <v>105452.81999999999</v>
      </c>
    </row>
    <row r="94" spans="1:7" outlineLevel="1">
      <c r="B94" s="24" t="s">
        <v>68</v>
      </c>
      <c r="C94" s="67">
        <v>70000</v>
      </c>
      <c r="D94" s="67">
        <v>70000</v>
      </c>
      <c r="E94" s="67">
        <v>70000</v>
      </c>
      <c r="F94" s="67">
        <v>70000</v>
      </c>
      <c r="G94" s="67">
        <v>70000</v>
      </c>
    </row>
    <row r="95" spans="1:7">
      <c r="A95" s="23" t="s">
        <v>58</v>
      </c>
      <c r="C95" s="109">
        <f t="shared" ref="C95:G95" si="10">+SUM(C72:C94)</f>
        <v>768402.23924799997</v>
      </c>
      <c r="D95" s="109">
        <f t="shared" si="10"/>
        <v>785650.582696</v>
      </c>
      <c r="E95" s="109">
        <f t="shared" si="10"/>
        <v>815352.82</v>
      </c>
      <c r="F95" s="109">
        <f t="shared" si="10"/>
        <v>838352.82</v>
      </c>
      <c r="G95" s="109">
        <f t="shared" si="10"/>
        <v>838352.82</v>
      </c>
    </row>
    <row r="96" spans="1:7">
      <c r="A96" s="23" t="s">
        <v>1</v>
      </c>
      <c r="C96" s="107">
        <f t="shared" ref="C96:G96" si="11">+SUM(C43,C51,C62,C70,C95)</f>
        <v>2955165.8232479999</v>
      </c>
      <c r="D96" s="107">
        <f t="shared" si="11"/>
        <v>3220067.8758959998</v>
      </c>
      <c r="E96" s="107">
        <f t="shared" si="11"/>
        <v>3467705.6139999996</v>
      </c>
      <c r="F96" s="107">
        <f t="shared" si="11"/>
        <v>3647977.2668701243</v>
      </c>
      <c r="G96" s="107">
        <f t="shared" si="11"/>
        <v>3738028.915103599</v>
      </c>
    </row>
    <row r="97" spans="1:7">
      <c r="C97" s="66"/>
      <c r="D97" s="66"/>
      <c r="E97" s="66"/>
      <c r="F97" s="66"/>
      <c r="G97" s="66"/>
    </row>
    <row r="98" spans="1:7" ht="15" thickBot="1">
      <c r="A98" s="23" t="s">
        <v>2</v>
      </c>
      <c r="C98" s="78">
        <f t="shared" ref="C98:G98" si="12">+C33-C96</f>
        <v>234560.41835199995</v>
      </c>
      <c r="D98" s="78">
        <f t="shared" si="12"/>
        <v>219431.37230400043</v>
      </c>
      <c r="E98" s="78">
        <f t="shared" si="12"/>
        <v>272731.76100000041</v>
      </c>
      <c r="F98" s="78">
        <f t="shared" si="12"/>
        <v>92779.833129875362</v>
      </c>
      <c r="G98" s="78">
        <f t="shared" si="12"/>
        <v>2728.184896400664</v>
      </c>
    </row>
    <row r="99" spans="1:7" ht="15" thickTop="1">
      <c r="C99" s="68"/>
      <c r="D99" s="68"/>
      <c r="E99" s="68"/>
      <c r="F99" s="68"/>
      <c r="G99" s="68"/>
    </row>
    <row r="101" spans="1:7" s="69" customFormat="1">
      <c r="A101" s="69" t="s">
        <v>81</v>
      </c>
      <c r="C101" s="79" t="e">
        <f>#REF!+C98</f>
        <v>#REF!</v>
      </c>
      <c r="D101" s="79" t="e">
        <f>C101+D98</f>
        <v>#REF!</v>
      </c>
      <c r="E101" s="79" t="e">
        <f t="shared" ref="E101:G101" si="13">D101+E98</f>
        <v>#REF!</v>
      </c>
      <c r="F101" s="79" t="e">
        <f t="shared" si="13"/>
        <v>#REF!</v>
      </c>
      <c r="G101" s="79" t="e">
        <f t="shared" si="13"/>
        <v>#REF!</v>
      </c>
    </row>
    <row r="102" spans="1:7">
      <c r="A102" s="70" t="s">
        <v>301</v>
      </c>
      <c r="C102" s="80" t="e">
        <f t="shared" ref="C102:G102" si="14">C101/C96</f>
        <v>#REF!</v>
      </c>
      <c r="D102" s="80" t="e">
        <f t="shared" si="14"/>
        <v>#REF!</v>
      </c>
      <c r="E102" s="80" t="e">
        <f t="shared" si="14"/>
        <v>#REF!</v>
      </c>
      <c r="F102" s="80" t="e">
        <f t="shared" si="14"/>
        <v>#REF!</v>
      </c>
      <c r="G102" s="80" t="e">
        <f t="shared" si="14"/>
        <v>#REF!</v>
      </c>
    </row>
  </sheetData>
  <pageMargins left="0.7" right="0.7" top="0.75" bottom="0.75" header="0.3" footer="0.3"/>
  <pageSetup scale="79" orientation="portrait" horizontalDpi="4294967295" verticalDpi="4294967295" r:id="rId1"/>
  <rowBreaks count="1" manualBreakCount="1">
    <brk id="62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W141"/>
  <sheetViews>
    <sheetView zoomScale="70" zoomScaleNormal="70" zoomScalePage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3" sqref="G13"/>
    </sheetView>
  </sheetViews>
  <sheetFormatPr baseColWidth="10" defaultColWidth="8.83203125" defaultRowHeight="14"/>
  <cols>
    <col min="1" max="1" width="7.5" style="24" customWidth="1"/>
    <col min="2" max="2" width="42.83203125" style="24" bestFit="1" customWidth="1"/>
    <col min="3" max="3" width="10.1640625" style="24" bestFit="1" customWidth="1"/>
    <col min="4" max="16" width="9.83203125" style="24" customWidth="1"/>
    <col min="17" max="17" width="5.6640625" style="103" customWidth="1"/>
    <col min="18" max="18" width="8.83203125" style="24"/>
    <col min="19" max="19" width="10.1640625" style="24" bestFit="1" customWidth="1"/>
    <col min="20" max="29" width="9.83203125" style="24" customWidth="1"/>
    <col min="30" max="30" width="10.1640625" style="24" customWidth="1"/>
    <col min="31" max="31" width="10.5" style="24" customWidth="1"/>
    <col min="32" max="32" width="9.83203125" style="24" customWidth="1"/>
    <col min="33" max="33" width="5.6640625" style="103" customWidth="1"/>
    <col min="34" max="34" width="8.83203125" style="24"/>
    <col min="35" max="35" width="10.1640625" style="24" bestFit="1" customWidth="1"/>
    <col min="36" max="44" width="9.83203125" style="24" customWidth="1"/>
    <col min="45" max="46" width="10.1640625" style="24" customWidth="1"/>
    <col min="47" max="47" width="10.5" style="24" customWidth="1"/>
    <col min="48" max="48" width="9.83203125" style="24" customWidth="1"/>
    <col min="49" max="49" width="5.6640625" style="83" customWidth="1"/>
    <col min="50" max="16384" width="8.83203125" style="24"/>
  </cols>
  <sheetData>
    <row r="1" spans="1:49" ht="16">
      <c r="A1" s="64" t="str">
        <f>'General Info Input'!C1</f>
        <v>Sol Aureus College Preparatory</v>
      </c>
    </row>
    <row r="2" spans="1:49" ht="15">
      <c r="A2" s="65" t="s">
        <v>390</v>
      </c>
    </row>
    <row r="3" spans="1:49">
      <c r="C3" s="128" t="s">
        <v>76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S3" s="128" t="s">
        <v>77</v>
      </c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I3" s="128" t="s">
        <v>78</v>
      </c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</row>
    <row r="4" spans="1:49" ht="28">
      <c r="C4" s="21" t="s">
        <v>306</v>
      </c>
      <c r="D4" s="22" t="s">
        <v>318</v>
      </c>
      <c r="E4" s="22" t="s">
        <v>307</v>
      </c>
      <c r="F4" s="22" t="s">
        <v>308</v>
      </c>
      <c r="G4" s="22" t="s">
        <v>309</v>
      </c>
      <c r="H4" s="22" t="s">
        <v>310</v>
      </c>
      <c r="I4" s="22" t="s">
        <v>311</v>
      </c>
      <c r="J4" s="22" t="s">
        <v>312</v>
      </c>
      <c r="K4" s="22" t="s">
        <v>313</v>
      </c>
      <c r="L4" s="22" t="s">
        <v>314</v>
      </c>
      <c r="M4" s="22" t="s">
        <v>315</v>
      </c>
      <c r="N4" s="22" t="s">
        <v>316</v>
      </c>
      <c r="O4" s="22" t="s">
        <v>317</v>
      </c>
      <c r="P4" s="22" t="s">
        <v>324</v>
      </c>
      <c r="Q4" s="104" t="s">
        <v>325</v>
      </c>
      <c r="S4" s="21" t="s">
        <v>306</v>
      </c>
      <c r="T4" s="22" t="s">
        <v>318</v>
      </c>
      <c r="U4" s="22" t="s">
        <v>307</v>
      </c>
      <c r="V4" s="22" t="s">
        <v>308</v>
      </c>
      <c r="W4" s="22" t="s">
        <v>309</v>
      </c>
      <c r="X4" s="22" t="s">
        <v>310</v>
      </c>
      <c r="Y4" s="22" t="s">
        <v>311</v>
      </c>
      <c r="Z4" s="22" t="s">
        <v>312</v>
      </c>
      <c r="AA4" s="22" t="s">
        <v>313</v>
      </c>
      <c r="AB4" s="22" t="s">
        <v>314</v>
      </c>
      <c r="AC4" s="22" t="s">
        <v>315</v>
      </c>
      <c r="AD4" s="22" t="s">
        <v>316</v>
      </c>
      <c r="AE4" s="22" t="s">
        <v>317</v>
      </c>
      <c r="AF4" s="22" t="s">
        <v>324</v>
      </c>
      <c r="AG4" s="104" t="s">
        <v>325</v>
      </c>
      <c r="AI4" s="21" t="s">
        <v>306</v>
      </c>
      <c r="AJ4" s="26" t="s">
        <v>318</v>
      </c>
      <c r="AK4" s="26" t="s">
        <v>307</v>
      </c>
      <c r="AL4" s="26" t="s">
        <v>308</v>
      </c>
      <c r="AM4" s="26" t="s">
        <v>309</v>
      </c>
      <c r="AN4" s="26" t="s">
        <v>310</v>
      </c>
      <c r="AO4" s="26" t="s">
        <v>311</v>
      </c>
      <c r="AP4" s="26" t="s">
        <v>312</v>
      </c>
      <c r="AQ4" s="26" t="s">
        <v>313</v>
      </c>
      <c r="AR4" s="26" t="s">
        <v>314</v>
      </c>
      <c r="AS4" s="26" t="s">
        <v>315</v>
      </c>
      <c r="AT4" s="26" t="s">
        <v>316</v>
      </c>
      <c r="AU4" s="26" t="s">
        <v>317</v>
      </c>
      <c r="AV4" s="26" t="s">
        <v>324</v>
      </c>
      <c r="AW4" s="84" t="s">
        <v>325</v>
      </c>
    </row>
    <row r="6" spans="1:49">
      <c r="A6" s="23" t="s">
        <v>319</v>
      </c>
      <c r="C6" s="85"/>
      <c r="D6" s="114">
        <v>400000</v>
      </c>
      <c r="E6" s="88">
        <f>D108</f>
        <v>302837.47626666666</v>
      </c>
      <c r="F6" s="88">
        <f t="shared" ref="F6:O6" si="0">E108</f>
        <v>128778.27326060607</v>
      </c>
      <c r="G6" s="88">
        <f t="shared" si="0"/>
        <v>-138430.91054545451</v>
      </c>
      <c r="H6" s="88">
        <f t="shared" si="0"/>
        <v>550152.7972804493</v>
      </c>
      <c r="I6" s="88">
        <f t="shared" si="0"/>
        <v>338239.94277899317</v>
      </c>
      <c r="J6" s="88">
        <f t="shared" si="0"/>
        <v>126327.08827753703</v>
      </c>
      <c r="K6" s="88">
        <f t="shared" si="0"/>
        <v>338912.52526408108</v>
      </c>
      <c r="L6" s="88">
        <f t="shared" si="0"/>
        <v>131166.33742929157</v>
      </c>
      <c r="M6" s="88">
        <f t="shared" si="0"/>
        <v>142308.20898362203</v>
      </c>
      <c r="N6" s="88">
        <f t="shared" si="0"/>
        <v>153204.68128531252</v>
      </c>
      <c r="O6" s="88">
        <f t="shared" si="0"/>
        <v>146101.15358700295</v>
      </c>
      <c r="P6" s="23"/>
      <c r="S6" s="85"/>
      <c r="T6" s="88">
        <f>O108</f>
        <v>232147.60668869343</v>
      </c>
      <c r="U6" s="88">
        <f>T108</f>
        <v>359271.2081386667</v>
      </c>
      <c r="V6" s="88">
        <f t="shared" ref="V6:AE6" si="1">U108</f>
        <v>300028.28510318068</v>
      </c>
      <c r="W6" s="88">
        <f t="shared" si="1"/>
        <v>258302.39053281469</v>
      </c>
      <c r="X6" s="88">
        <f t="shared" si="1"/>
        <v>243716.35164081305</v>
      </c>
      <c r="Y6" s="88">
        <f t="shared" si="1"/>
        <v>233487.77774881147</v>
      </c>
      <c r="Z6" s="88">
        <f t="shared" si="1"/>
        <v>206301.73885680985</v>
      </c>
      <c r="AA6" s="88">
        <f t="shared" si="1"/>
        <v>266166.28996480827</v>
      </c>
      <c r="AB6" s="88">
        <f t="shared" si="1"/>
        <v>237746.91773947328</v>
      </c>
      <c r="AC6" s="88">
        <f t="shared" si="1"/>
        <v>292893.02266325842</v>
      </c>
      <c r="AD6" s="88">
        <f t="shared" si="1"/>
        <v>376892.12474240351</v>
      </c>
      <c r="AE6" s="88">
        <f t="shared" si="1"/>
        <v>387423.10182154865</v>
      </c>
      <c r="AF6" s="23"/>
      <c r="AI6" s="85"/>
      <c r="AJ6" s="88">
        <f>AE108</f>
        <v>523645.02908069373</v>
      </c>
      <c r="AK6" s="88">
        <f>AJ108</f>
        <v>706831.91055866703</v>
      </c>
      <c r="AL6" s="88">
        <f t="shared" ref="AL6" si="2">AK108</f>
        <v>646217.51202975551</v>
      </c>
      <c r="AM6" s="88">
        <f t="shared" ref="AM6" si="3">AL108</f>
        <v>512930.26013308414</v>
      </c>
      <c r="AN6" s="88">
        <f t="shared" ref="AN6" si="4">AM108</f>
        <v>515381.09491669713</v>
      </c>
      <c r="AO6" s="88">
        <f t="shared" ref="AO6" si="5">AN108</f>
        <v>504306.4147003101</v>
      </c>
      <c r="AP6" s="88">
        <f t="shared" ref="AP6" si="6">AO108</f>
        <v>474994.44948392303</v>
      </c>
      <c r="AQ6" s="88">
        <f t="shared" ref="AQ6" si="7">AP108</f>
        <v>502181.019267536</v>
      </c>
      <c r="AR6" s="88">
        <f t="shared" ref="AR6" si="8">AQ108</f>
        <v>471600.39571781561</v>
      </c>
      <c r="AS6" s="88">
        <f t="shared" ref="AS6" si="9">AR108</f>
        <v>534499.47029833542</v>
      </c>
      <c r="AT6" s="88">
        <f t="shared" ref="AT6" si="10">AS108</f>
        <v>593495.02030157519</v>
      </c>
      <c r="AU6" s="88">
        <f t="shared" ref="AU6" si="11">AT108</f>
        <v>610854.32030481496</v>
      </c>
      <c r="AV6" s="23"/>
    </row>
    <row r="7" spans="1:49">
      <c r="D7" s="25" t="s">
        <v>389</v>
      </c>
    </row>
    <row r="8" spans="1:49">
      <c r="A8" s="23" t="s">
        <v>40</v>
      </c>
    </row>
    <row r="9" spans="1:49">
      <c r="A9" s="23" t="s">
        <v>26</v>
      </c>
    </row>
    <row r="10" spans="1:49">
      <c r="A10" s="23"/>
      <c r="B10" s="24" t="s">
        <v>3</v>
      </c>
      <c r="C10" s="89">
        <f>'Budget Summary'!C6</f>
        <v>2258323.8415999999</v>
      </c>
      <c r="D10" s="89">
        <f>$C10*'Y1 Cash Flow Assumptions'!D10</f>
        <v>0</v>
      </c>
      <c r="E10" s="89">
        <f>$C10*'Y1 Cash Flow Assumptions'!E10</f>
        <v>0</v>
      </c>
      <c r="F10" s="89">
        <f>$C10*'Y1 Cash Flow Assumptions'!F10</f>
        <v>0</v>
      </c>
      <c r="G10" s="89">
        <f>$C10*'Y1 Cash Flow Assumptions'!G10</f>
        <v>835579.82139199995</v>
      </c>
      <c r="H10" s="89">
        <f>$C10*'Y1 Cash Flow Assumptions'!H10</f>
        <v>0</v>
      </c>
      <c r="I10" s="89">
        <f>$C10*'Y1 Cash Flow Assumptions'!I10</f>
        <v>0</v>
      </c>
      <c r="J10" s="90">
        <f>($C10*('Y1 Cash Flow Assumptions'!G10+'Y1 Cash Flow Assumptions'!J10))-SUM(D10:I10)</f>
        <v>406498.29148800019</v>
      </c>
      <c r="K10" s="89">
        <f>($C10-SUM($D10:$J10))*'Y1 Cash Flow Assumptions'!K10</f>
        <v>0</v>
      </c>
      <c r="L10" s="89">
        <f>($C10-SUM($D10:$J10))*'Y1 Cash Flow Assumptions'!L10</f>
        <v>203249.14574399998</v>
      </c>
      <c r="M10" s="89">
        <f>($C10-SUM($D10:$J10))*'Y1 Cash Flow Assumptions'!M10</f>
        <v>203249.14574399998</v>
      </c>
      <c r="N10" s="89">
        <f>($C10-SUM($D10:$J10))*'Y1 Cash Flow Assumptions'!N10</f>
        <v>203249.14574399998</v>
      </c>
      <c r="O10" s="89">
        <f>($C10-SUM($D10:$J10))*'Y1 Cash Flow Assumptions'!O10</f>
        <v>203249.14574399998</v>
      </c>
      <c r="P10" s="89">
        <f>($C10-SUM($D10:$J10))*'Y1 Cash Flow Assumptions'!P10</f>
        <v>203249.14574399998</v>
      </c>
      <c r="Q10" s="103" t="str">
        <f>IF(SUM(D10:P10)=C10,"","!")</f>
        <v/>
      </c>
      <c r="S10" s="89">
        <f>'Budget Summary'!D6</f>
        <v>2446046.6982</v>
      </c>
      <c r="T10" s="89">
        <f>$C10*'Y2_3 Cash Flow Assumptions'!D10</f>
        <v>0</v>
      </c>
      <c r="U10" s="89">
        <f>$C10*'Y2_3 Cash Flow Assumptions'!E10</f>
        <v>112916.19208000001</v>
      </c>
      <c r="V10" s="89">
        <f>$C10*'Y2_3 Cash Flow Assumptions'!F10</f>
        <v>112916.19208000001</v>
      </c>
      <c r="W10" s="89">
        <f>$C10*'Y2_3 Cash Flow Assumptions'!G10</f>
        <v>203249.14574399998</v>
      </c>
      <c r="X10" s="89">
        <f>$C10*'Y2_3 Cash Flow Assumptions'!H10</f>
        <v>203249.14574399998</v>
      </c>
      <c r="Y10" s="89">
        <f>$C10*'Y2_3 Cash Flow Assumptions'!I10</f>
        <v>203249.14574399998</v>
      </c>
      <c r="Z10" s="89">
        <f>$C10*'Y2_3 Cash Flow Assumptions'!J10</f>
        <v>203249.14574399998</v>
      </c>
      <c r="AA10" s="89">
        <f>$C10*'Y2_3 Cash Flow Assumptions'!K10</f>
        <v>203249.14574399998</v>
      </c>
      <c r="AB10" s="89">
        <f>($S10-SUM($T10:$AA10))*'Y2_3 Cash Flow Assumptions'!L10</f>
        <v>240793.71706400003</v>
      </c>
      <c r="AC10" s="89">
        <f>($S10-SUM($T10:$AA10))*'Y2_3 Cash Flow Assumptions'!M10</f>
        <v>240793.71706400003</v>
      </c>
      <c r="AD10" s="89">
        <f>($S10-SUM($T10:$AA10))*'Y2_3 Cash Flow Assumptions'!N10</f>
        <v>240793.71706400003</v>
      </c>
      <c r="AE10" s="89">
        <f>($S10-SUM($T10:$AA10))*'Y2_3 Cash Flow Assumptions'!O10</f>
        <v>240793.71706400003</v>
      </c>
      <c r="AF10" s="89">
        <f>($S10-SUM($T10:$AA10))*'Y2_3 Cash Flow Assumptions'!P10</f>
        <v>240793.71706400003</v>
      </c>
      <c r="AG10" s="103" t="str">
        <f>IF(SUM(T10:AF10)=S10,"","!")</f>
        <v/>
      </c>
      <c r="AI10" s="89">
        <f>'Budget Summary'!E6</f>
        <v>2690299.35</v>
      </c>
      <c r="AJ10" s="89">
        <f>$S10*'Y2_3 Cash Flow Assumptions'!D10</f>
        <v>0</v>
      </c>
      <c r="AK10" s="89">
        <f>$S10*'Y2_3 Cash Flow Assumptions'!E10</f>
        <v>122302.33491000001</v>
      </c>
      <c r="AL10" s="89">
        <f>$S10*'Y2_3 Cash Flow Assumptions'!F10</f>
        <v>122302.33491000001</v>
      </c>
      <c r="AM10" s="89">
        <f>$S10*'Y2_3 Cash Flow Assumptions'!G10</f>
        <v>220144.202838</v>
      </c>
      <c r="AN10" s="89">
        <f>$S10*'Y2_3 Cash Flow Assumptions'!H10</f>
        <v>220144.202838</v>
      </c>
      <c r="AO10" s="89">
        <f>$S10*'Y2_3 Cash Flow Assumptions'!I10</f>
        <v>220144.202838</v>
      </c>
      <c r="AP10" s="89">
        <f>$S10*'Y2_3 Cash Flow Assumptions'!J10</f>
        <v>220144.202838</v>
      </c>
      <c r="AQ10" s="89">
        <f>$S10*'Y2_3 Cash Flow Assumptions'!K10</f>
        <v>220144.202838</v>
      </c>
      <c r="AR10" s="90">
        <f>'Y2_3 Cash Flow Assumptions'!L10*('Cash Flow Input'!$AI10-SUM('Cash Flow Input'!$AJ10:$AQ10))</f>
        <v>268994.73319800006</v>
      </c>
      <c r="AS10" s="90">
        <f>'Y2_3 Cash Flow Assumptions'!M10*('Cash Flow Input'!$AI10-SUM('Cash Flow Input'!$AJ10:$AQ10))</f>
        <v>268994.73319800006</v>
      </c>
      <c r="AT10" s="90">
        <f>'Y2_3 Cash Flow Assumptions'!N10*('Cash Flow Input'!$AI10-SUM('Cash Flow Input'!$AJ10:$AQ10))</f>
        <v>268994.73319800006</v>
      </c>
      <c r="AU10" s="90">
        <f>'Y2_3 Cash Flow Assumptions'!O10*('Cash Flow Input'!$AI10-SUM('Cash Flow Input'!$AJ10:$AQ10))</f>
        <v>268994.73319800006</v>
      </c>
      <c r="AV10" s="90">
        <f>'Y2_3 Cash Flow Assumptions'!P10*('Cash Flow Input'!$AI10-SUM('Cash Flow Input'!$AJ10:$AQ10))</f>
        <v>268994.73319800006</v>
      </c>
      <c r="AW10" s="83" t="str">
        <f>IF(SUM(AJ10:AV10)=AI10,"","!")</f>
        <v/>
      </c>
    </row>
    <row r="11" spans="1:49">
      <c r="A11" s="23"/>
      <c r="B11" s="24" t="s">
        <v>4</v>
      </c>
      <c r="C11" s="89">
        <f>'Budget Summary'!C7</f>
        <v>72000</v>
      </c>
      <c r="D11" s="89">
        <f>$C11*'Y1 Cash Flow Assumptions'!D11</f>
        <v>0</v>
      </c>
      <c r="E11" s="89">
        <f>$C11*'Y1 Cash Flow Assumptions'!E11</f>
        <v>0</v>
      </c>
      <c r="F11" s="89">
        <f>$C11*'Y1 Cash Flow Assumptions'!F11</f>
        <v>0</v>
      </c>
      <c r="G11" s="89">
        <f>$C11*'Y1 Cash Flow Assumptions'!G11</f>
        <v>18000</v>
      </c>
      <c r="H11" s="89">
        <f>$C11*'Y1 Cash Flow Assumptions'!H11</f>
        <v>0</v>
      </c>
      <c r="I11" s="89">
        <f>$C11*'Y1 Cash Flow Assumptions'!I11</f>
        <v>0</v>
      </c>
      <c r="J11" s="89">
        <f>$C11*'Y1 Cash Flow Assumptions'!J11</f>
        <v>18000</v>
      </c>
      <c r="K11" s="89">
        <f>$C11*'Y1 Cash Flow Assumptions'!K11</f>
        <v>0</v>
      </c>
      <c r="L11" s="89">
        <f>$C11*'Y1 Cash Flow Assumptions'!L11</f>
        <v>0</v>
      </c>
      <c r="M11" s="89">
        <f>$C11*'Y1 Cash Flow Assumptions'!M11</f>
        <v>18000</v>
      </c>
      <c r="N11" s="89">
        <f>$C11*'Y1 Cash Flow Assumptions'!N11</f>
        <v>0</v>
      </c>
      <c r="O11" s="89">
        <f>$C11*'Y1 Cash Flow Assumptions'!O11</f>
        <v>0</v>
      </c>
      <c r="P11" s="89">
        <f>$C11*'Y1 Cash Flow Assumptions'!P11</f>
        <v>18000</v>
      </c>
      <c r="Q11" s="103" t="str">
        <f t="shared" ref="Q11:Q74" si="12">IF(SUM(D11:P11)=C11,"","!")</f>
        <v/>
      </c>
      <c r="S11" s="89">
        <f>'Budget Summary'!D7</f>
        <v>76500</v>
      </c>
      <c r="T11" s="89">
        <f>$C11*'Y2_3 Cash Flow Assumptions'!D11</f>
        <v>0</v>
      </c>
      <c r="U11" s="89">
        <f>$C11*'Y2_3 Cash Flow Assumptions'!E11</f>
        <v>0</v>
      </c>
      <c r="V11" s="89">
        <f>$C11*'Y2_3 Cash Flow Assumptions'!F11</f>
        <v>0</v>
      </c>
      <c r="W11" s="89">
        <f>$C11*'Y2_3 Cash Flow Assumptions'!G11</f>
        <v>18000</v>
      </c>
      <c r="X11" s="89">
        <f>$C11*'Y2_3 Cash Flow Assumptions'!H11</f>
        <v>0</v>
      </c>
      <c r="Y11" s="89">
        <f>$C11*'Y2_3 Cash Flow Assumptions'!I11</f>
        <v>0</v>
      </c>
      <c r="Z11" s="89">
        <f>$C11*'Y2_3 Cash Flow Assumptions'!J11</f>
        <v>18000</v>
      </c>
      <c r="AA11" s="89">
        <f>$C11*'Y2_3 Cash Flow Assumptions'!K11</f>
        <v>0</v>
      </c>
      <c r="AB11" s="90">
        <f>$S11*'Y2_3 Cash Flow Assumptions'!L11</f>
        <v>0</v>
      </c>
      <c r="AC11" s="90">
        <f>(SUM('Y2_3 Cash Flow Assumptions'!$D11:M11)*'Cash Flow Input'!$S11)-SUM('Cash Flow Input'!$T11:$AB11)</f>
        <v>21375</v>
      </c>
      <c r="AD11" s="90">
        <f>$S11*'Y2_3 Cash Flow Assumptions'!N11</f>
        <v>0</v>
      </c>
      <c r="AE11" s="90">
        <f>$S11*'Y2_3 Cash Flow Assumptions'!O11</f>
        <v>0</v>
      </c>
      <c r="AF11" s="90">
        <f>'Y2_3 Cash Flow Assumptions'!P11*'Cash Flow Input'!$S11</f>
        <v>19125</v>
      </c>
      <c r="AG11" s="103" t="str">
        <f t="shared" ref="AG11:AG74" si="13">IF(SUM(T11:AF11)=S11,"","!")</f>
        <v/>
      </c>
      <c r="AI11" s="89">
        <f>'Budget Summary'!E7</f>
        <v>81000</v>
      </c>
      <c r="AJ11" s="89">
        <f>$S11*'Y2_3 Cash Flow Assumptions'!D11</f>
        <v>0</v>
      </c>
      <c r="AK11" s="89">
        <f>$S11*'Y2_3 Cash Flow Assumptions'!E11</f>
        <v>0</v>
      </c>
      <c r="AL11" s="89">
        <f>$S11*'Y2_3 Cash Flow Assumptions'!F11</f>
        <v>0</v>
      </c>
      <c r="AM11" s="89">
        <f>$S11*'Y2_3 Cash Flow Assumptions'!G11</f>
        <v>19125</v>
      </c>
      <c r="AN11" s="89">
        <f>$S11*'Y2_3 Cash Flow Assumptions'!H11</f>
        <v>0</v>
      </c>
      <c r="AO11" s="89">
        <f>$S11*'Y2_3 Cash Flow Assumptions'!I11</f>
        <v>0</v>
      </c>
      <c r="AP11" s="89">
        <f>$S11*'Y2_3 Cash Flow Assumptions'!J11</f>
        <v>19125</v>
      </c>
      <c r="AQ11" s="89">
        <f>$S11*'Y2_3 Cash Flow Assumptions'!K11</f>
        <v>0</v>
      </c>
      <c r="AR11" s="89">
        <f>$S11*'Y2_3 Cash Flow Assumptions'!L11</f>
        <v>0</v>
      </c>
      <c r="AS11" s="90">
        <f>(SUM('Y2_3 Cash Flow Assumptions'!$D11:M11)*'Cash Flow Input'!$AI11)-SUM('Cash Flow Input'!$AJ11:$AR11)</f>
        <v>22500</v>
      </c>
      <c r="AT11" s="90">
        <f>$AI11*'Y2_3 Cash Flow Assumptions'!N11</f>
        <v>0</v>
      </c>
      <c r="AU11" s="90">
        <f>$AI11*'Y2_3 Cash Flow Assumptions'!O11</f>
        <v>0</v>
      </c>
      <c r="AV11" s="90">
        <f>$AI11*'Y2_3 Cash Flow Assumptions'!P11</f>
        <v>20250</v>
      </c>
      <c r="AW11" s="83" t="str">
        <f t="shared" ref="AW11:AW74" si="14">IF(SUM(AJ11:AV11)=AI11,"","!")</f>
        <v/>
      </c>
    </row>
    <row r="12" spans="1:49">
      <c r="A12" s="23"/>
      <c r="B12" s="24" t="s">
        <v>5</v>
      </c>
      <c r="C12" s="89">
        <f>'Budget Summary'!C8</f>
        <v>661150.80000000005</v>
      </c>
      <c r="D12" s="89">
        <f>$C12*'Y1 Cash Flow Assumptions'!D12</f>
        <v>0</v>
      </c>
      <c r="E12" s="89">
        <f>$C12*'Y1 Cash Flow Assumptions'!E12</f>
        <v>0</v>
      </c>
      <c r="F12" s="89">
        <f>$C12*'Y1 Cash Flow Assumptions'!F12</f>
        <v>0</v>
      </c>
      <c r="G12" s="89">
        <f>$C12*'Y1 Cash Flow Assumptions'!G12</f>
        <v>171899.20800000001</v>
      </c>
      <c r="H12" s="89">
        <f>$C12*'Y1 Cash Flow Assumptions'!H12</f>
        <v>52892.064000000006</v>
      </c>
      <c r="I12" s="89">
        <f>$C12*'Y1 Cash Flow Assumptions'!I12</f>
        <v>52892.064000000006</v>
      </c>
      <c r="J12" s="89">
        <f>$C12*'Y1 Cash Flow Assumptions'!J12</f>
        <v>52892.064000000006</v>
      </c>
      <c r="K12" s="89">
        <f>$C12*'Y1 Cash Flow Assumptions'!K12</f>
        <v>52892.064000000006</v>
      </c>
      <c r="L12" s="89">
        <f>($C12-SUM($D12:$K12))*'Y1 Cash Flow Assumptions'!L12</f>
        <v>92561.111999999994</v>
      </c>
      <c r="M12" s="89">
        <f>($C12-SUM($D12:$K12))*'Y1 Cash Flow Assumptions'!M12</f>
        <v>46280.555999999997</v>
      </c>
      <c r="N12" s="89">
        <f>($C12-SUM($D12:$K12))*'Y1 Cash Flow Assumptions'!N12</f>
        <v>46280.555999999997</v>
      </c>
      <c r="O12" s="89">
        <f>($C12-SUM($D12:$K12))*'Y1 Cash Flow Assumptions'!O12</f>
        <v>46280.555999999997</v>
      </c>
      <c r="P12" s="89">
        <f>($C12-SUM($D12:$K12))*'Y1 Cash Flow Assumptions'!P12</f>
        <v>46280.555999999997</v>
      </c>
      <c r="Q12" s="103" t="str">
        <f t="shared" si="12"/>
        <v/>
      </c>
      <c r="S12" s="89">
        <f>'Budget Summary'!D8</f>
        <v>702472.72499999998</v>
      </c>
      <c r="T12" s="89">
        <f>$C12*'Y2_3 Cash Flow Assumptions'!D12</f>
        <v>0</v>
      </c>
      <c r="U12" s="89">
        <f>$C12*'Y2_3 Cash Flow Assumptions'!E12</f>
        <v>39669.048000000003</v>
      </c>
      <c r="V12" s="89">
        <f>$C12*'Y2_3 Cash Flow Assumptions'!F12</f>
        <v>79338.096000000005</v>
      </c>
      <c r="W12" s="89">
        <f>$C12*'Y2_3 Cash Flow Assumptions'!G12</f>
        <v>52892.064000000006</v>
      </c>
      <c r="X12" s="89">
        <f>$C12*'Y2_3 Cash Flow Assumptions'!H12</f>
        <v>52892.064000000006</v>
      </c>
      <c r="Y12" s="89">
        <f>$C12*'Y2_3 Cash Flow Assumptions'!I12</f>
        <v>52892.064000000006</v>
      </c>
      <c r="Z12" s="89">
        <f>$C12*'Y2_3 Cash Flow Assumptions'!J12</f>
        <v>52892.064000000006</v>
      </c>
      <c r="AA12" s="89">
        <f>$C12*'Y2_3 Cash Flow Assumptions'!K12</f>
        <v>52892.064000000006</v>
      </c>
      <c r="AB12" s="90">
        <f>'Y2_3 Cash Flow Assumptions'!L12*('Cash Flow Input'!$S12-SUM('Cash Flow Input'!$T12:$AA12))</f>
        <v>106335.08699999997</v>
      </c>
      <c r="AC12" s="90">
        <f>'Y2_3 Cash Flow Assumptions'!M12*('Cash Flow Input'!$S12-SUM('Cash Flow Input'!$T12:$AA12))</f>
        <v>53167.543499999985</v>
      </c>
      <c r="AD12" s="90">
        <f>'Y2_3 Cash Flow Assumptions'!N12*('Cash Flow Input'!$S12-SUM('Cash Flow Input'!$T12:$AA12))</f>
        <v>53167.543499999985</v>
      </c>
      <c r="AE12" s="90">
        <f>'Y2_3 Cash Flow Assumptions'!O12*('Cash Flow Input'!$S12-SUM('Cash Flow Input'!$T12:$AA12))</f>
        <v>53167.543499999985</v>
      </c>
      <c r="AF12" s="90">
        <f>'Y2_3 Cash Flow Assumptions'!P12*('Cash Flow Input'!$S12-SUM('Cash Flow Input'!$T12:$AA12))</f>
        <v>53167.543499999985</v>
      </c>
      <c r="AG12" s="103" t="str">
        <f t="shared" si="13"/>
        <v/>
      </c>
      <c r="AI12" s="89">
        <f>'Budget Summary'!E8</f>
        <v>743794.65</v>
      </c>
      <c r="AJ12" s="89">
        <f>$S12*'Y2_3 Cash Flow Assumptions'!D12</f>
        <v>0</v>
      </c>
      <c r="AK12" s="89">
        <f>$S12*'Y2_3 Cash Flow Assumptions'!E12</f>
        <v>42148.363499999999</v>
      </c>
      <c r="AL12" s="89">
        <f>$S12*'Y2_3 Cash Flow Assumptions'!F12</f>
        <v>84296.726999999999</v>
      </c>
      <c r="AM12" s="89">
        <f>$S12*'Y2_3 Cash Flow Assumptions'!G12</f>
        <v>56197.817999999999</v>
      </c>
      <c r="AN12" s="89">
        <f>$S12*'Y2_3 Cash Flow Assumptions'!H12</f>
        <v>56197.817999999999</v>
      </c>
      <c r="AO12" s="89">
        <f>$S12*'Y2_3 Cash Flow Assumptions'!I12</f>
        <v>56197.817999999999</v>
      </c>
      <c r="AP12" s="89">
        <f>$S12*'Y2_3 Cash Flow Assumptions'!J12</f>
        <v>56197.817999999999</v>
      </c>
      <c r="AQ12" s="89">
        <f>$S12*'Y2_3 Cash Flow Assumptions'!K12</f>
        <v>56197.817999999999</v>
      </c>
      <c r="AR12" s="90">
        <f>'Y2_3 Cash Flow Assumptions'!L12*('Cash Flow Input'!$AI12-SUM('Cash Flow Input'!$AJ12:$AQ12))</f>
        <v>112120.15650000004</v>
      </c>
      <c r="AS12" s="90">
        <f>'Y2_3 Cash Flow Assumptions'!M12*('Cash Flow Input'!$AI12-SUM('Cash Flow Input'!$AJ12:$AQ12))</f>
        <v>56060.07825000002</v>
      </c>
      <c r="AT12" s="90">
        <f>'Y2_3 Cash Flow Assumptions'!N12*('Cash Flow Input'!$AI12-SUM('Cash Flow Input'!$AJ12:$AQ12))</f>
        <v>56060.07825000002</v>
      </c>
      <c r="AU12" s="90">
        <f>'Y2_3 Cash Flow Assumptions'!O12*('Cash Flow Input'!$AI12-SUM('Cash Flow Input'!$AJ12:$AQ12))</f>
        <v>56060.07825000002</v>
      </c>
      <c r="AV12" s="90">
        <f>'Y2_3 Cash Flow Assumptions'!P12*('Cash Flow Input'!$AI12-SUM('Cash Flow Input'!$AJ12:$AQ12))</f>
        <v>56060.07825000002</v>
      </c>
      <c r="AW12" s="83" t="str">
        <f t="shared" si="14"/>
        <v/>
      </c>
    </row>
    <row r="13" spans="1:49" s="23" customFormat="1">
      <c r="A13" s="23" t="s">
        <v>26</v>
      </c>
      <c r="C13" s="88">
        <f>SUM(C10:C12)</f>
        <v>2991474.6415999997</v>
      </c>
      <c r="D13" s="88">
        <f t="shared" ref="D13:P13" si="15">SUM(D10:D12)</f>
        <v>0</v>
      </c>
      <c r="E13" s="88">
        <f t="shared" si="15"/>
        <v>0</v>
      </c>
      <c r="F13" s="88">
        <f t="shared" si="15"/>
        <v>0</v>
      </c>
      <c r="G13" s="131">
        <f t="shared" si="15"/>
        <v>1025479.0293919999</v>
      </c>
      <c r="H13" s="88">
        <f t="shared" si="15"/>
        <v>52892.064000000006</v>
      </c>
      <c r="I13" s="88">
        <f t="shared" si="15"/>
        <v>52892.064000000006</v>
      </c>
      <c r="J13" s="88">
        <f t="shared" si="15"/>
        <v>477390.3554880002</v>
      </c>
      <c r="K13" s="88">
        <f t="shared" si="15"/>
        <v>52892.064000000006</v>
      </c>
      <c r="L13" s="88">
        <f t="shared" si="15"/>
        <v>295810.25774399994</v>
      </c>
      <c r="M13" s="88">
        <f t="shared" si="15"/>
        <v>267529.70174399996</v>
      </c>
      <c r="N13" s="88">
        <f t="shared" si="15"/>
        <v>249529.70174399996</v>
      </c>
      <c r="O13" s="88">
        <f t="shared" si="15"/>
        <v>249529.70174399996</v>
      </c>
      <c r="P13" s="88">
        <f t="shared" si="15"/>
        <v>267529.70174399996</v>
      </c>
      <c r="Q13" s="103" t="str">
        <f t="shared" si="12"/>
        <v/>
      </c>
      <c r="S13" s="88">
        <f>SUM(S10:S12)</f>
        <v>3225019.4232000001</v>
      </c>
      <c r="T13" s="88">
        <f t="shared" ref="T13" si="16">SUM(T10:T12)</f>
        <v>0</v>
      </c>
      <c r="U13" s="88">
        <f t="shared" ref="U13" si="17">SUM(U10:U12)</f>
        <v>152585.24008000002</v>
      </c>
      <c r="V13" s="88">
        <f t="shared" ref="V13" si="18">SUM(V10:V12)</f>
        <v>192254.28808000003</v>
      </c>
      <c r="W13" s="88">
        <f t="shared" ref="W13" si="19">SUM(W10:W12)</f>
        <v>274141.20974399999</v>
      </c>
      <c r="X13" s="88">
        <f t="shared" ref="X13" si="20">SUM(X10:X12)</f>
        <v>256141.20974399999</v>
      </c>
      <c r="Y13" s="88">
        <f t="shared" ref="Y13" si="21">SUM(Y10:Y12)</f>
        <v>256141.20974399999</v>
      </c>
      <c r="Z13" s="88">
        <f t="shared" ref="Z13" si="22">SUM(Z10:Z12)</f>
        <v>274141.20974399999</v>
      </c>
      <c r="AA13" s="88">
        <f t="shared" ref="AA13" si="23">SUM(AA10:AA12)</f>
        <v>256141.20974399999</v>
      </c>
      <c r="AB13" s="88">
        <f t="shared" ref="AB13" si="24">SUM(AB10:AB12)</f>
        <v>347128.80406400003</v>
      </c>
      <c r="AC13" s="88">
        <f t="shared" ref="AC13" si="25">SUM(AC10:AC12)</f>
        <v>315336.260564</v>
      </c>
      <c r="AD13" s="88">
        <f t="shared" ref="AD13" si="26">SUM(AD10:AD12)</f>
        <v>293961.260564</v>
      </c>
      <c r="AE13" s="88">
        <f t="shared" ref="AE13" si="27">SUM(AE10:AE12)</f>
        <v>293961.260564</v>
      </c>
      <c r="AF13" s="88">
        <f t="shared" ref="AF13" si="28">SUM(AF10:AF12)</f>
        <v>313086.260564</v>
      </c>
      <c r="AG13" s="103" t="str">
        <f t="shared" si="13"/>
        <v/>
      </c>
      <c r="AI13" s="88">
        <f>SUM(AI10:AI12)</f>
        <v>3515094</v>
      </c>
      <c r="AJ13" s="88">
        <f t="shared" ref="AJ13:AV13" si="29">SUM(AJ10:AJ12)</f>
        <v>0</v>
      </c>
      <c r="AK13" s="88">
        <f t="shared" si="29"/>
        <v>164450.69841000001</v>
      </c>
      <c r="AL13" s="88">
        <f t="shared" si="29"/>
        <v>206599.06190999999</v>
      </c>
      <c r="AM13" s="88">
        <f t="shared" si="29"/>
        <v>295467.020838</v>
      </c>
      <c r="AN13" s="88">
        <f t="shared" si="29"/>
        <v>276342.020838</v>
      </c>
      <c r="AO13" s="88">
        <f t="shared" si="29"/>
        <v>276342.020838</v>
      </c>
      <c r="AP13" s="88">
        <f t="shared" si="29"/>
        <v>295467.020838</v>
      </c>
      <c r="AQ13" s="88">
        <f t="shared" si="29"/>
        <v>276342.020838</v>
      </c>
      <c r="AR13" s="88">
        <f t="shared" si="29"/>
        <v>381114.8896980001</v>
      </c>
      <c r="AS13" s="88">
        <f t="shared" si="29"/>
        <v>347554.81144800008</v>
      </c>
      <c r="AT13" s="88">
        <f t="shared" si="29"/>
        <v>325054.81144800008</v>
      </c>
      <c r="AU13" s="88">
        <f t="shared" si="29"/>
        <v>325054.81144800008</v>
      </c>
      <c r="AV13" s="88">
        <f t="shared" si="29"/>
        <v>345304.81144800008</v>
      </c>
      <c r="AW13" s="83" t="str">
        <f t="shared" si="14"/>
        <v/>
      </c>
    </row>
    <row r="14" spans="1:49">
      <c r="A14" s="23" t="s">
        <v>27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103" t="str">
        <f t="shared" si="12"/>
        <v/>
      </c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103" t="str">
        <f t="shared" si="13"/>
        <v/>
      </c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3" t="str">
        <f t="shared" si="14"/>
        <v/>
      </c>
    </row>
    <row r="15" spans="1:49">
      <c r="A15" s="23"/>
      <c r="B15" s="24" t="s">
        <v>29</v>
      </c>
      <c r="C15" s="89">
        <f>'Budget Summary'!C11</f>
        <v>0</v>
      </c>
      <c r="D15" s="89">
        <f>$C15*'Y1 Cash Flow Assumptions'!D15</f>
        <v>0</v>
      </c>
      <c r="E15" s="89">
        <f>$C15*'Y1 Cash Flow Assumptions'!E15</f>
        <v>0</v>
      </c>
      <c r="F15" s="89">
        <f>$C15*'Y1 Cash Flow Assumptions'!F15</f>
        <v>0</v>
      </c>
      <c r="G15" s="89">
        <f>$C15*'Y1 Cash Flow Assumptions'!G15</f>
        <v>0</v>
      </c>
      <c r="H15" s="89">
        <f>$C15*'Y1 Cash Flow Assumptions'!H15</f>
        <v>0</v>
      </c>
      <c r="I15" s="89">
        <f>$C15*'Y1 Cash Flow Assumptions'!I15</f>
        <v>0</v>
      </c>
      <c r="J15" s="90">
        <f>($C15*('Y1 Cash Flow Assumptions'!G15+'Y1 Cash Flow Assumptions'!J15))-SUM(D15:I15)</f>
        <v>0</v>
      </c>
      <c r="K15" s="89">
        <f>($C15-SUM($D15:$J15))*'Y1 Cash Flow Assumptions'!K15</f>
        <v>0</v>
      </c>
      <c r="L15" s="89">
        <f>($C15-SUM($D15:$J15))*'Y1 Cash Flow Assumptions'!L15</f>
        <v>0</v>
      </c>
      <c r="M15" s="89">
        <f>($C15-SUM($D15:$J15))*'Y1 Cash Flow Assumptions'!M15</f>
        <v>0</v>
      </c>
      <c r="N15" s="89">
        <f>($C15-SUM($D15:$J15))*'Y1 Cash Flow Assumptions'!N15</f>
        <v>0</v>
      </c>
      <c r="O15" s="89">
        <f>($C15-SUM($D15:$J15))*'Y1 Cash Flow Assumptions'!O15</f>
        <v>0</v>
      </c>
      <c r="P15" s="89">
        <f>($C15-SUM($D15:$J15))*'Y1 Cash Flow Assumptions'!P15</f>
        <v>0</v>
      </c>
      <c r="Q15" s="103" t="str">
        <f t="shared" si="12"/>
        <v/>
      </c>
      <c r="S15" s="89">
        <f>'Budget Summary'!D11</f>
        <v>0</v>
      </c>
      <c r="T15" s="89">
        <f>$C15*'Y2_3 Cash Flow Assumptions'!D15</f>
        <v>0</v>
      </c>
      <c r="U15" s="89">
        <f>$C15*'Y2_3 Cash Flow Assumptions'!E15</f>
        <v>0</v>
      </c>
      <c r="V15" s="89">
        <f>$C15*'Y2_3 Cash Flow Assumptions'!F15</f>
        <v>0</v>
      </c>
      <c r="W15" s="89">
        <f>$C15*'Y2_3 Cash Flow Assumptions'!G15</f>
        <v>0</v>
      </c>
      <c r="X15" s="89">
        <f>$C15*'Y2_3 Cash Flow Assumptions'!H15</f>
        <v>0</v>
      </c>
      <c r="Y15" s="89">
        <f>$C15*'Y2_3 Cash Flow Assumptions'!I15</f>
        <v>0</v>
      </c>
      <c r="Z15" s="89">
        <f>$C15*'Y2_3 Cash Flow Assumptions'!J15</f>
        <v>0</v>
      </c>
      <c r="AA15" s="89">
        <f>$C15*'Y2_3 Cash Flow Assumptions'!K15</f>
        <v>0</v>
      </c>
      <c r="AB15" s="89">
        <f>($S15-SUM($T15:$AA15))*'Y2_3 Cash Flow Assumptions'!L15</f>
        <v>0</v>
      </c>
      <c r="AC15" s="89">
        <f>($S15-SUM($T15:$AA15))*'Y2_3 Cash Flow Assumptions'!M15</f>
        <v>0</v>
      </c>
      <c r="AD15" s="89">
        <f>($S15-SUM($T15:$AA15))*'Y2_3 Cash Flow Assumptions'!N15</f>
        <v>0</v>
      </c>
      <c r="AE15" s="89">
        <f>($S15-SUM($T15:$AA15))*'Y2_3 Cash Flow Assumptions'!O15</f>
        <v>0</v>
      </c>
      <c r="AF15" s="89">
        <f>($S15-SUM($T15:$AA15))*'Y2_3 Cash Flow Assumptions'!P15</f>
        <v>0</v>
      </c>
      <c r="AG15" s="103" t="str">
        <f t="shared" si="13"/>
        <v/>
      </c>
      <c r="AI15" s="89">
        <f>'Budget Summary'!E11</f>
        <v>0</v>
      </c>
      <c r="AJ15" s="89">
        <f>$S15*'Y2_3 Cash Flow Assumptions'!D15</f>
        <v>0</v>
      </c>
      <c r="AK15" s="89">
        <f>$S15*'Y2_3 Cash Flow Assumptions'!E15</f>
        <v>0</v>
      </c>
      <c r="AL15" s="89">
        <f>$S15*'Y2_3 Cash Flow Assumptions'!F15</f>
        <v>0</v>
      </c>
      <c r="AM15" s="89">
        <f>$S15*'Y2_3 Cash Flow Assumptions'!G15</f>
        <v>0</v>
      </c>
      <c r="AN15" s="89">
        <f>$S15*'Y2_3 Cash Flow Assumptions'!H15</f>
        <v>0</v>
      </c>
      <c r="AO15" s="89">
        <f>$S15*'Y2_3 Cash Flow Assumptions'!I15</f>
        <v>0</v>
      </c>
      <c r="AP15" s="89">
        <f>$S15*'Y2_3 Cash Flow Assumptions'!J15</f>
        <v>0</v>
      </c>
      <c r="AQ15" s="89">
        <f>$S15*'Y2_3 Cash Flow Assumptions'!K15</f>
        <v>0</v>
      </c>
      <c r="AR15" s="90">
        <f>'Y2_3 Cash Flow Assumptions'!L15*('Cash Flow Input'!$AI15-SUM('Cash Flow Input'!$AJ15:$AQ15))</f>
        <v>0</v>
      </c>
      <c r="AS15" s="90">
        <f>'Y2_3 Cash Flow Assumptions'!M15*('Cash Flow Input'!$AI15-SUM('Cash Flow Input'!$AJ15:$AQ15))</f>
        <v>0</v>
      </c>
      <c r="AT15" s="90">
        <f>'Y2_3 Cash Flow Assumptions'!N15*('Cash Flow Input'!$AI15-SUM('Cash Flow Input'!$AJ15:$AQ15))</f>
        <v>0</v>
      </c>
      <c r="AU15" s="90">
        <f>'Y2_3 Cash Flow Assumptions'!O15*('Cash Flow Input'!$AI15-SUM('Cash Flow Input'!$AJ15:$AQ15))</f>
        <v>0</v>
      </c>
      <c r="AV15" s="90">
        <f>'Y2_3 Cash Flow Assumptions'!P15*('Cash Flow Input'!$AI15-SUM('Cash Flow Input'!$AJ15:$AQ15))</f>
        <v>0</v>
      </c>
      <c r="AW15" s="83" t="str">
        <f t="shared" si="14"/>
        <v/>
      </c>
    </row>
    <row r="16" spans="1:49">
      <c r="A16" s="23"/>
      <c r="B16" s="24" t="s">
        <v>30</v>
      </c>
      <c r="C16" s="89">
        <f>'Budget Summary'!C12</f>
        <v>0</v>
      </c>
      <c r="D16" s="89">
        <f>$C16*'Y1 Cash Flow Assumptions'!D16</f>
        <v>0</v>
      </c>
      <c r="E16" s="89">
        <f>$C16*'Y1 Cash Flow Assumptions'!E16</f>
        <v>0</v>
      </c>
      <c r="F16" s="89">
        <f>$C16*'Y1 Cash Flow Assumptions'!F16</f>
        <v>0</v>
      </c>
      <c r="G16" s="89">
        <f>$C16*'Y1 Cash Flow Assumptions'!G16</f>
        <v>0</v>
      </c>
      <c r="H16" s="89">
        <f>$C16*'Y1 Cash Flow Assumptions'!H16</f>
        <v>0</v>
      </c>
      <c r="I16" s="89">
        <f>$C16*'Y1 Cash Flow Assumptions'!I16</f>
        <v>0</v>
      </c>
      <c r="J16" s="89">
        <f>$C16*'Y1 Cash Flow Assumptions'!J16</f>
        <v>0</v>
      </c>
      <c r="K16" s="89">
        <f>$C16*'Y1 Cash Flow Assumptions'!K16</f>
        <v>0</v>
      </c>
      <c r="L16" s="89">
        <f>$C16*'Y1 Cash Flow Assumptions'!L16</f>
        <v>0</v>
      </c>
      <c r="M16" s="89">
        <f>$C16*'Y1 Cash Flow Assumptions'!M16</f>
        <v>0</v>
      </c>
      <c r="N16" s="89">
        <f>$C16*'Y1 Cash Flow Assumptions'!N16</f>
        <v>0</v>
      </c>
      <c r="O16" s="89">
        <f>$C16*'Y1 Cash Flow Assumptions'!O16</f>
        <v>0</v>
      </c>
      <c r="P16" s="89">
        <f>$C16*'Y1 Cash Flow Assumptions'!P16</f>
        <v>0</v>
      </c>
      <c r="Q16" s="103" t="str">
        <f t="shared" si="12"/>
        <v/>
      </c>
      <c r="S16" s="89">
        <f>'Budget Summary'!D12</f>
        <v>0</v>
      </c>
      <c r="T16" s="89">
        <f>$S16*'Y2_3 Cash Flow Assumptions'!D16</f>
        <v>0</v>
      </c>
      <c r="U16" s="89">
        <f>$S16*'Y2_3 Cash Flow Assumptions'!E16</f>
        <v>0</v>
      </c>
      <c r="V16" s="89">
        <f>$S16*'Y2_3 Cash Flow Assumptions'!F16</f>
        <v>0</v>
      </c>
      <c r="W16" s="89">
        <f>$S16*'Y2_3 Cash Flow Assumptions'!G16</f>
        <v>0</v>
      </c>
      <c r="X16" s="89">
        <f>$S16*'Y2_3 Cash Flow Assumptions'!H16</f>
        <v>0</v>
      </c>
      <c r="Y16" s="89">
        <f>$S16*'Y2_3 Cash Flow Assumptions'!I16</f>
        <v>0</v>
      </c>
      <c r="Z16" s="89">
        <f>$S16*'Y2_3 Cash Flow Assumptions'!J16</f>
        <v>0</v>
      </c>
      <c r="AA16" s="89">
        <f>$S16*'Y2_3 Cash Flow Assumptions'!K16</f>
        <v>0</v>
      </c>
      <c r="AB16" s="89">
        <f>$S16*'Y2_3 Cash Flow Assumptions'!L16</f>
        <v>0</v>
      </c>
      <c r="AC16" s="89">
        <f>$S16*'Y2_3 Cash Flow Assumptions'!M16</f>
        <v>0</v>
      </c>
      <c r="AD16" s="89">
        <f>$S16*'Y2_3 Cash Flow Assumptions'!N16</f>
        <v>0</v>
      </c>
      <c r="AE16" s="89">
        <f>$S16*'Y2_3 Cash Flow Assumptions'!O16</f>
        <v>0</v>
      </c>
      <c r="AF16" s="89">
        <f>$S16*'Y2_3 Cash Flow Assumptions'!P16</f>
        <v>0</v>
      </c>
      <c r="AG16" s="103" t="str">
        <f t="shared" si="13"/>
        <v/>
      </c>
      <c r="AI16" s="89">
        <f>'Budget Summary'!E12</f>
        <v>0</v>
      </c>
      <c r="AJ16" s="89">
        <f>$AI16*'Y2_3 Cash Flow Assumptions'!D16</f>
        <v>0</v>
      </c>
      <c r="AK16" s="89">
        <f>$AI16*'Y2_3 Cash Flow Assumptions'!E16</f>
        <v>0</v>
      </c>
      <c r="AL16" s="89">
        <f>$AI16*'Y2_3 Cash Flow Assumptions'!F16</f>
        <v>0</v>
      </c>
      <c r="AM16" s="89">
        <f>$AI16*'Y2_3 Cash Flow Assumptions'!G16</f>
        <v>0</v>
      </c>
      <c r="AN16" s="89">
        <f>$AI16*'Y2_3 Cash Flow Assumptions'!H16</f>
        <v>0</v>
      </c>
      <c r="AO16" s="89">
        <f>$AI16*'Y2_3 Cash Flow Assumptions'!I16</f>
        <v>0</v>
      </c>
      <c r="AP16" s="89">
        <f>$AI16*'Y2_3 Cash Flow Assumptions'!J16</f>
        <v>0</v>
      </c>
      <c r="AQ16" s="89">
        <f>$AI16*'Y2_3 Cash Flow Assumptions'!K16</f>
        <v>0</v>
      </c>
      <c r="AR16" s="89">
        <f>$AI16*'Y2_3 Cash Flow Assumptions'!L16</f>
        <v>0</v>
      </c>
      <c r="AS16" s="89">
        <f>$AI16*'Y2_3 Cash Flow Assumptions'!M16</f>
        <v>0</v>
      </c>
      <c r="AT16" s="89">
        <f>$AI16*'Y2_3 Cash Flow Assumptions'!N16</f>
        <v>0</v>
      </c>
      <c r="AU16" s="89">
        <f>$AI16*'Y2_3 Cash Flow Assumptions'!O16</f>
        <v>0</v>
      </c>
      <c r="AV16" s="89">
        <f>$AI16*'Y2_3 Cash Flow Assumptions'!P16</f>
        <v>0</v>
      </c>
      <c r="AW16" s="83" t="str">
        <f t="shared" si="14"/>
        <v/>
      </c>
    </row>
    <row r="17" spans="1:49">
      <c r="A17" s="23"/>
      <c r="B17" s="24" t="s">
        <v>35</v>
      </c>
      <c r="C17" s="89">
        <f>'Budget Summary'!C13</f>
        <v>98000</v>
      </c>
      <c r="D17" s="89">
        <f>$C17*'Y1 Cash Flow Assumptions'!D17</f>
        <v>0</v>
      </c>
      <c r="E17" s="89">
        <f>$C17*'Y1 Cash Flow Assumptions'!E17</f>
        <v>0</v>
      </c>
      <c r="F17" s="89">
        <f>$C17*'Y1 Cash Flow Assumptions'!F17</f>
        <v>0</v>
      </c>
      <c r="G17" s="89">
        <f>$C17*'Y1 Cash Flow Assumptions'!G17</f>
        <v>0</v>
      </c>
      <c r="H17" s="89">
        <f>$C17*'Y1 Cash Flow Assumptions'!H17</f>
        <v>0</v>
      </c>
      <c r="I17" s="89">
        <f>$C17*'Y1 Cash Flow Assumptions'!I17</f>
        <v>0</v>
      </c>
      <c r="J17" s="89">
        <f>$C17*'Y1 Cash Flow Assumptions'!J17</f>
        <v>0</v>
      </c>
      <c r="K17" s="89">
        <f>$C17*'Y1 Cash Flow Assumptions'!K17</f>
        <v>0</v>
      </c>
      <c r="L17" s="89">
        <f>$C17*'Y1 Cash Flow Assumptions'!L17</f>
        <v>0</v>
      </c>
      <c r="M17" s="89">
        <f>$C17*'Y1 Cash Flow Assumptions'!M17</f>
        <v>0</v>
      </c>
      <c r="N17" s="89">
        <f>$C17*'Y1 Cash Flow Assumptions'!N17</f>
        <v>0</v>
      </c>
      <c r="O17" s="89">
        <f>$C17*'Y1 Cash Flow Assumptions'!O17</f>
        <v>0</v>
      </c>
      <c r="P17" s="89">
        <f>$C17*'Y1 Cash Flow Assumptions'!P17</f>
        <v>98000</v>
      </c>
      <c r="Q17" s="103" t="str">
        <f t="shared" si="12"/>
        <v/>
      </c>
      <c r="S17" s="89">
        <f>'Budget Summary'!D13</f>
        <v>104125</v>
      </c>
      <c r="T17" s="89">
        <f>$S17*'Y2_3 Cash Flow Assumptions'!D17</f>
        <v>0</v>
      </c>
      <c r="U17" s="89">
        <f>$S17*'Y2_3 Cash Flow Assumptions'!E17</f>
        <v>0</v>
      </c>
      <c r="V17" s="89">
        <f>$S17*'Y2_3 Cash Flow Assumptions'!F17</f>
        <v>0</v>
      </c>
      <c r="W17" s="89">
        <f>$S17*'Y2_3 Cash Flow Assumptions'!G17</f>
        <v>0</v>
      </c>
      <c r="X17" s="89">
        <f>$S17*'Y2_3 Cash Flow Assumptions'!H17</f>
        <v>20825</v>
      </c>
      <c r="Y17" s="89">
        <f>$S17*'Y2_3 Cash Flow Assumptions'!I17</f>
        <v>0</v>
      </c>
      <c r="Z17" s="89">
        <f>$S17*'Y2_3 Cash Flow Assumptions'!J17</f>
        <v>20825</v>
      </c>
      <c r="AA17" s="89">
        <f>$S17*'Y2_3 Cash Flow Assumptions'!K17</f>
        <v>0</v>
      </c>
      <c r="AB17" s="89">
        <f>$S17*'Y2_3 Cash Flow Assumptions'!L17</f>
        <v>20825</v>
      </c>
      <c r="AC17" s="89">
        <f>$S17*'Y2_3 Cash Flow Assumptions'!M17</f>
        <v>0</v>
      </c>
      <c r="AD17" s="89">
        <f>$S17*'Y2_3 Cash Flow Assumptions'!N17</f>
        <v>0</v>
      </c>
      <c r="AE17" s="89">
        <f>$S17*'Y2_3 Cash Flow Assumptions'!O17</f>
        <v>20825</v>
      </c>
      <c r="AF17" s="89">
        <f>$S17*'Y2_3 Cash Flow Assumptions'!P17</f>
        <v>20825</v>
      </c>
      <c r="AG17" s="103" t="str">
        <f t="shared" si="13"/>
        <v/>
      </c>
      <c r="AI17" s="89">
        <f>'Budget Summary'!E13</f>
        <v>110250</v>
      </c>
      <c r="AJ17" s="89">
        <f>$AI17*'Y2_3 Cash Flow Assumptions'!D17</f>
        <v>0</v>
      </c>
      <c r="AK17" s="89">
        <f>$AI17*'Y2_3 Cash Flow Assumptions'!E17</f>
        <v>0</v>
      </c>
      <c r="AL17" s="89">
        <f>$AI17*'Y2_3 Cash Flow Assumptions'!F17</f>
        <v>0</v>
      </c>
      <c r="AM17" s="89">
        <f>$AI17*'Y2_3 Cash Flow Assumptions'!G17</f>
        <v>0</v>
      </c>
      <c r="AN17" s="89">
        <f>$AI17*'Y2_3 Cash Flow Assumptions'!H17</f>
        <v>22050</v>
      </c>
      <c r="AO17" s="89">
        <f>$AI17*'Y2_3 Cash Flow Assumptions'!I17</f>
        <v>0</v>
      </c>
      <c r="AP17" s="89">
        <f>$AI17*'Y2_3 Cash Flow Assumptions'!J17</f>
        <v>22050</v>
      </c>
      <c r="AQ17" s="89">
        <f>$AI17*'Y2_3 Cash Flow Assumptions'!K17</f>
        <v>0</v>
      </c>
      <c r="AR17" s="89">
        <f>$AI17*'Y2_3 Cash Flow Assumptions'!L17</f>
        <v>22050</v>
      </c>
      <c r="AS17" s="89">
        <f>$AI17*'Y2_3 Cash Flow Assumptions'!M17</f>
        <v>0</v>
      </c>
      <c r="AT17" s="89">
        <f>$AI17*'Y2_3 Cash Flow Assumptions'!N17</f>
        <v>0</v>
      </c>
      <c r="AU17" s="89">
        <f>$AI17*'Y2_3 Cash Flow Assumptions'!O17</f>
        <v>22050</v>
      </c>
      <c r="AV17" s="89">
        <f>$AI17*'Y2_3 Cash Flow Assumptions'!P17</f>
        <v>22050</v>
      </c>
      <c r="AW17" s="83" t="str">
        <f t="shared" si="14"/>
        <v/>
      </c>
    </row>
    <row r="18" spans="1:49">
      <c r="A18" s="23"/>
      <c r="B18" s="24" t="s">
        <v>36</v>
      </c>
      <c r="C18" s="89">
        <f>'Budget Summary'!C14</f>
        <v>1400</v>
      </c>
      <c r="D18" s="89">
        <f>$C18*'Y1 Cash Flow Assumptions'!D18</f>
        <v>0</v>
      </c>
      <c r="E18" s="89">
        <f>$C18*'Y1 Cash Flow Assumptions'!E18</f>
        <v>0</v>
      </c>
      <c r="F18" s="89">
        <f>$C18*'Y1 Cash Flow Assumptions'!F18</f>
        <v>0</v>
      </c>
      <c r="G18" s="89">
        <f>$C18*'Y1 Cash Flow Assumptions'!G18</f>
        <v>0</v>
      </c>
      <c r="H18" s="89">
        <f>$C18*'Y1 Cash Flow Assumptions'!H18</f>
        <v>0</v>
      </c>
      <c r="I18" s="89">
        <f>$C18*'Y1 Cash Flow Assumptions'!I18</f>
        <v>0</v>
      </c>
      <c r="J18" s="89">
        <f>$C18*'Y1 Cash Flow Assumptions'!J18</f>
        <v>0</v>
      </c>
      <c r="K18" s="89">
        <f>$C18*'Y1 Cash Flow Assumptions'!K18</f>
        <v>0</v>
      </c>
      <c r="L18" s="89">
        <f>$C18*'Y1 Cash Flow Assumptions'!L18</f>
        <v>0</v>
      </c>
      <c r="M18" s="89">
        <f>$C18*'Y1 Cash Flow Assumptions'!M18</f>
        <v>0</v>
      </c>
      <c r="N18" s="89">
        <f>$C18*'Y1 Cash Flow Assumptions'!N18</f>
        <v>0</v>
      </c>
      <c r="O18" s="89">
        <f>$C18*'Y1 Cash Flow Assumptions'!O18</f>
        <v>0</v>
      </c>
      <c r="P18" s="89">
        <f>$C18*'Y1 Cash Flow Assumptions'!P18</f>
        <v>1400</v>
      </c>
      <c r="Q18" s="103" t="str">
        <f t="shared" si="12"/>
        <v/>
      </c>
      <c r="S18" s="89">
        <f>'Budget Summary'!D14</f>
        <v>1487.5</v>
      </c>
      <c r="T18" s="89">
        <f>$S18*'Y2_3 Cash Flow Assumptions'!D18</f>
        <v>0</v>
      </c>
      <c r="U18" s="89">
        <f>$S18*'Y2_3 Cash Flow Assumptions'!E18</f>
        <v>0</v>
      </c>
      <c r="V18" s="89">
        <f>$S18*'Y2_3 Cash Flow Assumptions'!F18</f>
        <v>0</v>
      </c>
      <c r="W18" s="89">
        <f>$S18*'Y2_3 Cash Flow Assumptions'!G18</f>
        <v>0</v>
      </c>
      <c r="X18" s="89">
        <f>$S18*'Y2_3 Cash Flow Assumptions'!H18</f>
        <v>297.5</v>
      </c>
      <c r="Y18" s="89">
        <f>$S18*'Y2_3 Cash Flow Assumptions'!I18</f>
        <v>0</v>
      </c>
      <c r="Z18" s="89">
        <f>$S18*'Y2_3 Cash Flow Assumptions'!J18</f>
        <v>297.5</v>
      </c>
      <c r="AA18" s="89">
        <f>$S18*'Y2_3 Cash Flow Assumptions'!K18</f>
        <v>0</v>
      </c>
      <c r="AB18" s="89">
        <f>$S18*'Y2_3 Cash Flow Assumptions'!L18</f>
        <v>297.5</v>
      </c>
      <c r="AC18" s="89">
        <f>$S18*'Y2_3 Cash Flow Assumptions'!M18</f>
        <v>0</v>
      </c>
      <c r="AD18" s="89">
        <f>$S18*'Y2_3 Cash Flow Assumptions'!N18</f>
        <v>0</v>
      </c>
      <c r="AE18" s="89">
        <f>$S18*'Y2_3 Cash Flow Assumptions'!O18</f>
        <v>297.5</v>
      </c>
      <c r="AF18" s="89">
        <f>$S18*'Y2_3 Cash Flow Assumptions'!P18</f>
        <v>297.5</v>
      </c>
      <c r="AG18" s="103" t="str">
        <f t="shared" si="13"/>
        <v/>
      </c>
      <c r="AI18" s="89">
        <f>'Budget Summary'!E14</f>
        <v>1575</v>
      </c>
      <c r="AJ18" s="89">
        <f>$AI18*'Y2_3 Cash Flow Assumptions'!D18</f>
        <v>0</v>
      </c>
      <c r="AK18" s="89">
        <f>$AI18*'Y2_3 Cash Flow Assumptions'!E18</f>
        <v>0</v>
      </c>
      <c r="AL18" s="89">
        <f>$AI18*'Y2_3 Cash Flow Assumptions'!F18</f>
        <v>0</v>
      </c>
      <c r="AM18" s="89">
        <f>$AI18*'Y2_3 Cash Flow Assumptions'!G18</f>
        <v>0</v>
      </c>
      <c r="AN18" s="89">
        <f>$AI18*'Y2_3 Cash Flow Assumptions'!H18</f>
        <v>315</v>
      </c>
      <c r="AO18" s="89">
        <f>$AI18*'Y2_3 Cash Flow Assumptions'!I18</f>
        <v>0</v>
      </c>
      <c r="AP18" s="89">
        <f>$AI18*'Y2_3 Cash Flow Assumptions'!J18</f>
        <v>315</v>
      </c>
      <c r="AQ18" s="89">
        <f>$AI18*'Y2_3 Cash Flow Assumptions'!K18</f>
        <v>0</v>
      </c>
      <c r="AR18" s="89">
        <f>$AI18*'Y2_3 Cash Flow Assumptions'!L18</f>
        <v>315</v>
      </c>
      <c r="AS18" s="89">
        <f>$AI18*'Y2_3 Cash Flow Assumptions'!M18</f>
        <v>0</v>
      </c>
      <c r="AT18" s="89">
        <f>$AI18*'Y2_3 Cash Flow Assumptions'!N18</f>
        <v>0</v>
      </c>
      <c r="AU18" s="89">
        <f>$AI18*'Y2_3 Cash Flow Assumptions'!O18</f>
        <v>315</v>
      </c>
      <c r="AV18" s="89">
        <f>$AI18*'Y2_3 Cash Flow Assumptions'!P18</f>
        <v>315</v>
      </c>
      <c r="AW18" s="83" t="str">
        <f t="shared" si="14"/>
        <v/>
      </c>
    </row>
    <row r="19" spans="1:49">
      <c r="A19" s="23"/>
      <c r="B19" s="24" t="s">
        <v>37</v>
      </c>
      <c r="C19" s="89">
        <f>'Budget Summary'!C15</f>
        <v>5811.6</v>
      </c>
      <c r="D19" s="89">
        <f>$C19*'Y1 Cash Flow Assumptions'!D19</f>
        <v>0</v>
      </c>
      <c r="E19" s="89">
        <f>$C19*'Y1 Cash Flow Assumptions'!E19</f>
        <v>0</v>
      </c>
      <c r="F19" s="89">
        <f>$C19*'Y1 Cash Flow Assumptions'!F19</f>
        <v>0</v>
      </c>
      <c r="G19" s="89">
        <f>$C19*'Y1 Cash Flow Assumptions'!G19</f>
        <v>0</v>
      </c>
      <c r="H19" s="89">
        <f>$C19*'Y1 Cash Flow Assumptions'!H19</f>
        <v>0</v>
      </c>
      <c r="I19" s="89">
        <f>$C19*'Y1 Cash Flow Assumptions'!I19</f>
        <v>0</v>
      </c>
      <c r="J19" s="89">
        <f>$C19*'Y1 Cash Flow Assumptions'!J19</f>
        <v>0</v>
      </c>
      <c r="K19" s="89">
        <f>$C19*'Y1 Cash Flow Assumptions'!K19</f>
        <v>0</v>
      </c>
      <c r="L19" s="89">
        <f>$C19*'Y1 Cash Flow Assumptions'!L19</f>
        <v>0</v>
      </c>
      <c r="M19" s="89">
        <f>$C19*'Y1 Cash Flow Assumptions'!M19</f>
        <v>0</v>
      </c>
      <c r="N19" s="89">
        <f>$C19*'Y1 Cash Flow Assumptions'!N19</f>
        <v>0</v>
      </c>
      <c r="O19" s="89">
        <f>$C19*'Y1 Cash Flow Assumptions'!O19</f>
        <v>0</v>
      </c>
      <c r="P19" s="89">
        <f>$C19*'Y1 Cash Flow Assumptions'!P19</f>
        <v>5811.6</v>
      </c>
      <c r="Q19" s="103" t="str">
        <f t="shared" si="12"/>
        <v/>
      </c>
      <c r="S19" s="89">
        <f>'Budget Summary'!D15</f>
        <v>6174.8249999999998</v>
      </c>
      <c r="T19" s="89">
        <f>$S19*'Y2_3 Cash Flow Assumptions'!D19</f>
        <v>0</v>
      </c>
      <c r="U19" s="89">
        <f>$S19*'Y2_3 Cash Flow Assumptions'!E19</f>
        <v>0</v>
      </c>
      <c r="V19" s="89">
        <f>$S19*'Y2_3 Cash Flow Assumptions'!F19</f>
        <v>0</v>
      </c>
      <c r="W19" s="89">
        <f>$S19*'Y2_3 Cash Flow Assumptions'!G19</f>
        <v>0</v>
      </c>
      <c r="X19" s="89">
        <f>$S19*'Y2_3 Cash Flow Assumptions'!H19</f>
        <v>1234.9650000000001</v>
      </c>
      <c r="Y19" s="89">
        <f>$S19*'Y2_3 Cash Flow Assumptions'!I19</f>
        <v>0</v>
      </c>
      <c r="Z19" s="89">
        <f>$S19*'Y2_3 Cash Flow Assumptions'!J19</f>
        <v>1234.9650000000001</v>
      </c>
      <c r="AA19" s="89">
        <f>$S19*'Y2_3 Cash Flow Assumptions'!K19</f>
        <v>0</v>
      </c>
      <c r="AB19" s="89">
        <f>$S19*'Y2_3 Cash Flow Assumptions'!L19</f>
        <v>1234.9650000000001</v>
      </c>
      <c r="AC19" s="89">
        <f>$S19*'Y2_3 Cash Flow Assumptions'!M19</f>
        <v>0</v>
      </c>
      <c r="AD19" s="89">
        <f>$S19*'Y2_3 Cash Flow Assumptions'!N19</f>
        <v>0</v>
      </c>
      <c r="AE19" s="89">
        <f>$S19*'Y2_3 Cash Flow Assumptions'!O19</f>
        <v>1234.9650000000001</v>
      </c>
      <c r="AF19" s="89">
        <f>$S19*'Y2_3 Cash Flow Assumptions'!P19</f>
        <v>1234.9650000000001</v>
      </c>
      <c r="AG19" s="103" t="str">
        <f t="shared" si="13"/>
        <v/>
      </c>
      <c r="AI19" s="89">
        <f>'Budget Summary'!E15</f>
        <v>6538.05</v>
      </c>
      <c r="AJ19" s="89">
        <f>$AI19*'Y2_3 Cash Flow Assumptions'!D19</f>
        <v>0</v>
      </c>
      <c r="AK19" s="89">
        <f>$AI19*'Y2_3 Cash Flow Assumptions'!E19</f>
        <v>0</v>
      </c>
      <c r="AL19" s="89">
        <f>$AI19*'Y2_3 Cash Flow Assumptions'!F19</f>
        <v>0</v>
      </c>
      <c r="AM19" s="89">
        <f>$AI19*'Y2_3 Cash Flow Assumptions'!G19</f>
        <v>0</v>
      </c>
      <c r="AN19" s="89">
        <f>$AI19*'Y2_3 Cash Flow Assumptions'!H19</f>
        <v>1307.6100000000001</v>
      </c>
      <c r="AO19" s="89">
        <f>$AI19*'Y2_3 Cash Flow Assumptions'!I19</f>
        <v>0</v>
      </c>
      <c r="AP19" s="89">
        <f>$AI19*'Y2_3 Cash Flow Assumptions'!J19</f>
        <v>1307.6100000000001</v>
      </c>
      <c r="AQ19" s="89">
        <f>$AI19*'Y2_3 Cash Flow Assumptions'!K19</f>
        <v>0</v>
      </c>
      <c r="AR19" s="89">
        <f>$AI19*'Y2_3 Cash Flow Assumptions'!L19</f>
        <v>1307.6100000000001</v>
      </c>
      <c r="AS19" s="89">
        <f>$AI19*'Y2_3 Cash Flow Assumptions'!M19</f>
        <v>0</v>
      </c>
      <c r="AT19" s="89">
        <f>$AI19*'Y2_3 Cash Flow Assumptions'!N19</f>
        <v>0</v>
      </c>
      <c r="AU19" s="89">
        <f>$AI19*'Y2_3 Cash Flow Assumptions'!O19</f>
        <v>1307.6100000000001</v>
      </c>
      <c r="AV19" s="89">
        <f>$AI19*'Y2_3 Cash Flow Assumptions'!P19</f>
        <v>1307.6100000000001</v>
      </c>
      <c r="AW19" s="83" t="str">
        <f t="shared" si="14"/>
        <v/>
      </c>
    </row>
    <row r="20" spans="1:49">
      <c r="A20" s="23"/>
      <c r="B20" s="24" t="s">
        <v>38</v>
      </c>
      <c r="C20" s="89">
        <f>'Budget Summary'!C16</f>
        <v>0</v>
      </c>
      <c r="D20" s="89">
        <f>$C20*'Y1 Cash Flow Assumptions'!D20</f>
        <v>0</v>
      </c>
      <c r="E20" s="89">
        <f>$C20*'Y1 Cash Flow Assumptions'!E20</f>
        <v>0</v>
      </c>
      <c r="F20" s="89">
        <f>$C20*'Y1 Cash Flow Assumptions'!F20</f>
        <v>0</v>
      </c>
      <c r="G20" s="89">
        <f>$C20*'Y1 Cash Flow Assumptions'!G20</f>
        <v>0</v>
      </c>
      <c r="H20" s="89">
        <f>$C20*'Y1 Cash Flow Assumptions'!H20</f>
        <v>0</v>
      </c>
      <c r="I20" s="89">
        <f>$C20*'Y1 Cash Flow Assumptions'!I20</f>
        <v>0</v>
      </c>
      <c r="J20" s="89">
        <f>$C20*'Y1 Cash Flow Assumptions'!J20</f>
        <v>0</v>
      </c>
      <c r="K20" s="89">
        <f>$C20*'Y1 Cash Flow Assumptions'!K20</f>
        <v>0</v>
      </c>
      <c r="L20" s="89">
        <f>$C20*'Y1 Cash Flow Assumptions'!L20</f>
        <v>0</v>
      </c>
      <c r="M20" s="89">
        <f>$C20*'Y1 Cash Flow Assumptions'!M20</f>
        <v>0</v>
      </c>
      <c r="N20" s="89">
        <f>$C20*'Y1 Cash Flow Assumptions'!N20</f>
        <v>0</v>
      </c>
      <c r="O20" s="89">
        <f>$C20*'Y1 Cash Flow Assumptions'!O20</f>
        <v>0</v>
      </c>
      <c r="P20" s="89">
        <f>$C20*'Y1 Cash Flow Assumptions'!P20</f>
        <v>0</v>
      </c>
      <c r="Q20" s="103" t="str">
        <f t="shared" si="12"/>
        <v/>
      </c>
      <c r="S20" s="89">
        <f>'Budget Summary'!D16</f>
        <v>0</v>
      </c>
      <c r="T20" s="89">
        <f>$S20*'Y2_3 Cash Flow Assumptions'!D20</f>
        <v>0</v>
      </c>
      <c r="U20" s="89">
        <f>$S20*'Y2_3 Cash Flow Assumptions'!E20</f>
        <v>0</v>
      </c>
      <c r="V20" s="89">
        <f>$S20*'Y2_3 Cash Flow Assumptions'!F20</f>
        <v>0</v>
      </c>
      <c r="W20" s="89">
        <f>$S20*'Y2_3 Cash Flow Assumptions'!G20</f>
        <v>0</v>
      </c>
      <c r="X20" s="89">
        <f>$S20*'Y2_3 Cash Flow Assumptions'!H20</f>
        <v>0</v>
      </c>
      <c r="Y20" s="89">
        <f>$S20*'Y2_3 Cash Flow Assumptions'!I20</f>
        <v>0</v>
      </c>
      <c r="Z20" s="89">
        <f>$S20*'Y2_3 Cash Flow Assumptions'!J20</f>
        <v>0</v>
      </c>
      <c r="AA20" s="89">
        <f>$S20*'Y2_3 Cash Flow Assumptions'!K20</f>
        <v>0</v>
      </c>
      <c r="AB20" s="89">
        <f>$S20*'Y2_3 Cash Flow Assumptions'!L20</f>
        <v>0</v>
      </c>
      <c r="AC20" s="89">
        <f>$S20*'Y2_3 Cash Flow Assumptions'!M20</f>
        <v>0</v>
      </c>
      <c r="AD20" s="89">
        <f>$S20*'Y2_3 Cash Flow Assumptions'!N20</f>
        <v>0</v>
      </c>
      <c r="AE20" s="89">
        <f>$S20*'Y2_3 Cash Flow Assumptions'!O20</f>
        <v>0</v>
      </c>
      <c r="AF20" s="89">
        <f>$S20*'Y2_3 Cash Flow Assumptions'!P20</f>
        <v>0</v>
      </c>
      <c r="AG20" s="103" t="str">
        <f t="shared" si="13"/>
        <v/>
      </c>
      <c r="AI20" s="89">
        <f>'Budget Summary'!E16</f>
        <v>0</v>
      </c>
      <c r="AJ20" s="89">
        <f>$AI20*'Y2_3 Cash Flow Assumptions'!D20</f>
        <v>0</v>
      </c>
      <c r="AK20" s="89">
        <f>$AI20*'Y2_3 Cash Flow Assumptions'!E20</f>
        <v>0</v>
      </c>
      <c r="AL20" s="89">
        <f>$AI20*'Y2_3 Cash Flow Assumptions'!F20</f>
        <v>0</v>
      </c>
      <c r="AM20" s="89">
        <f>$AI20*'Y2_3 Cash Flow Assumptions'!G20</f>
        <v>0</v>
      </c>
      <c r="AN20" s="89">
        <f>$AI20*'Y2_3 Cash Flow Assumptions'!H20</f>
        <v>0</v>
      </c>
      <c r="AO20" s="89">
        <f>$AI20*'Y2_3 Cash Flow Assumptions'!I20</f>
        <v>0</v>
      </c>
      <c r="AP20" s="89">
        <f>$AI20*'Y2_3 Cash Flow Assumptions'!J20</f>
        <v>0</v>
      </c>
      <c r="AQ20" s="89">
        <f>$AI20*'Y2_3 Cash Flow Assumptions'!K20</f>
        <v>0</v>
      </c>
      <c r="AR20" s="89">
        <f>$AI20*'Y2_3 Cash Flow Assumptions'!L20</f>
        <v>0</v>
      </c>
      <c r="AS20" s="89">
        <f>$AI20*'Y2_3 Cash Flow Assumptions'!M20</f>
        <v>0</v>
      </c>
      <c r="AT20" s="89">
        <f>$AI20*'Y2_3 Cash Flow Assumptions'!N20</f>
        <v>0</v>
      </c>
      <c r="AU20" s="89">
        <f>$AI20*'Y2_3 Cash Flow Assumptions'!O20</f>
        <v>0</v>
      </c>
      <c r="AV20" s="89">
        <f>$AI20*'Y2_3 Cash Flow Assumptions'!P20</f>
        <v>0</v>
      </c>
      <c r="AW20" s="83" t="str">
        <f t="shared" si="14"/>
        <v/>
      </c>
    </row>
    <row r="21" spans="1:49">
      <c r="A21" s="23"/>
      <c r="B21" s="24" t="s">
        <v>6</v>
      </c>
      <c r="C21" s="89">
        <f>'Budget Summary'!C17</f>
        <v>0</v>
      </c>
      <c r="D21" s="89">
        <f>$C21*'Y1 Cash Flow Assumptions'!D21</f>
        <v>0</v>
      </c>
      <c r="E21" s="89">
        <f>$C21*'Y1 Cash Flow Assumptions'!E21</f>
        <v>0</v>
      </c>
      <c r="F21" s="89">
        <f>$C21*'Y1 Cash Flow Assumptions'!F21</f>
        <v>0</v>
      </c>
      <c r="G21" s="89">
        <f>$C21*'Y1 Cash Flow Assumptions'!G21</f>
        <v>0</v>
      </c>
      <c r="H21" s="89">
        <f>$C21*'Y1 Cash Flow Assumptions'!H21</f>
        <v>0</v>
      </c>
      <c r="I21" s="89">
        <f>$C21*'Y1 Cash Flow Assumptions'!I21</f>
        <v>0</v>
      </c>
      <c r="J21" s="89">
        <f>$C21*'Y1 Cash Flow Assumptions'!J21</f>
        <v>0</v>
      </c>
      <c r="K21" s="89">
        <f>$C21*'Y1 Cash Flow Assumptions'!K21</f>
        <v>0</v>
      </c>
      <c r="L21" s="89">
        <f>$C21*'Y1 Cash Flow Assumptions'!L21</f>
        <v>0</v>
      </c>
      <c r="M21" s="89">
        <f>$C21*'Y1 Cash Flow Assumptions'!M21</f>
        <v>0</v>
      </c>
      <c r="N21" s="89">
        <f>$C21*'Y1 Cash Flow Assumptions'!N21</f>
        <v>0</v>
      </c>
      <c r="O21" s="89">
        <f>$C21*'Y1 Cash Flow Assumptions'!O21</f>
        <v>0</v>
      </c>
      <c r="P21" s="89">
        <f>$C21*'Y1 Cash Flow Assumptions'!P21</f>
        <v>0</v>
      </c>
      <c r="Q21" s="103" t="str">
        <f t="shared" si="12"/>
        <v/>
      </c>
      <c r="S21" s="89">
        <f>'Budget Summary'!D17</f>
        <v>0</v>
      </c>
      <c r="T21" s="89">
        <f>$S21*'Y2_3 Cash Flow Assumptions'!D21</f>
        <v>0</v>
      </c>
      <c r="U21" s="89">
        <f>$S21*'Y2_3 Cash Flow Assumptions'!E21</f>
        <v>0</v>
      </c>
      <c r="V21" s="89">
        <f>$S21*'Y2_3 Cash Flow Assumptions'!F21</f>
        <v>0</v>
      </c>
      <c r="W21" s="89">
        <f>$S21*'Y2_3 Cash Flow Assumptions'!G21</f>
        <v>0</v>
      </c>
      <c r="X21" s="89">
        <f>$S21*'Y2_3 Cash Flow Assumptions'!H21</f>
        <v>0</v>
      </c>
      <c r="Y21" s="89">
        <f>$S21*'Y2_3 Cash Flow Assumptions'!I21</f>
        <v>0</v>
      </c>
      <c r="Z21" s="89">
        <f>$S21*'Y2_3 Cash Flow Assumptions'!J21</f>
        <v>0</v>
      </c>
      <c r="AA21" s="89">
        <f>$S21*'Y2_3 Cash Flow Assumptions'!K21</f>
        <v>0</v>
      </c>
      <c r="AB21" s="89">
        <f>$S21*'Y2_3 Cash Flow Assumptions'!L21</f>
        <v>0</v>
      </c>
      <c r="AC21" s="89">
        <f>$S21*'Y2_3 Cash Flow Assumptions'!M21</f>
        <v>0</v>
      </c>
      <c r="AD21" s="89">
        <f>$S21*'Y2_3 Cash Flow Assumptions'!N21</f>
        <v>0</v>
      </c>
      <c r="AE21" s="89">
        <f>$S21*'Y2_3 Cash Flow Assumptions'!O21</f>
        <v>0</v>
      </c>
      <c r="AF21" s="89">
        <f>$S21*'Y2_3 Cash Flow Assumptions'!P21</f>
        <v>0</v>
      </c>
      <c r="AG21" s="103" t="str">
        <f t="shared" si="13"/>
        <v/>
      </c>
      <c r="AI21" s="89">
        <f>'Budget Summary'!E17</f>
        <v>0</v>
      </c>
      <c r="AJ21" s="89">
        <f>$AI21*'Y2_3 Cash Flow Assumptions'!D21</f>
        <v>0</v>
      </c>
      <c r="AK21" s="89">
        <f>$AI21*'Y2_3 Cash Flow Assumptions'!E21</f>
        <v>0</v>
      </c>
      <c r="AL21" s="89">
        <f>$AI21*'Y2_3 Cash Flow Assumptions'!F21</f>
        <v>0</v>
      </c>
      <c r="AM21" s="89">
        <f>$AI21*'Y2_3 Cash Flow Assumptions'!G21</f>
        <v>0</v>
      </c>
      <c r="AN21" s="89">
        <f>$AI21*'Y2_3 Cash Flow Assumptions'!H21</f>
        <v>0</v>
      </c>
      <c r="AO21" s="89">
        <f>$AI21*'Y2_3 Cash Flow Assumptions'!I21</f>
        <v>0</v>
      </c>
      <c r="AP21" s="89">
        <f>$AI21*'Y2_3 Cash Flow Assumptions'!J21</f>
        <v>0</v>
      </c>
      <c r="AQ21" s="89">
        <f>$AI21*'Y2_3 Cash Flow Assumptions'!K21</f>
        <v>0</v>
      </c>
      <c r="AR21" s="89">
        <f>$AI21*'Y2_3 Cash Flow Assumptions'!L21</f>
        <v>0</v>
      </c>
      <c r="AS21" s="89">
        <f>$AI21*'Y2_3 Cash Flow Assumptions'!M21</f>
        <v>0</v>
      </c>
      <c r="AT21" s="89">
        <f>$AI21*'Y2_3 Cash Flow Assumptions'!N21</f>
        <v>0</v>
      </c>
      <c r="AU21" s="89">
        <f>$AI21*'Y2_3 Cash Flow Assumptions'!O21</f>
        <v>0</v>
      </c>
      <c r="AV21" s="89">
        <f>$AI21*'Y2_3 Cash Flow Assumptions'!P21</f>
        <v>0</v>
      </c>
      <c r="AW21" s="83" t="str">
        <f t="shared" si="14"/>
        <v/>
      </c>
    </row>
    <row r="22" spans="1:49" s="23" customFormat="1">
      <c r="A22" s="23" t="s">
        <v>27</v>
      </c>
      <c r="C22" s="88">
        <f>SUM(C15:C21)</f>
        <v>105211.6</v>
      </c>
      <c r="D22" s="88">
        <f t="shared" ref="D22:P22" si="30">SUM(D15:D21)</f>
        <v>0</v>
      </c>
      <c r="E22" s="88">
        <f t="shared" si="30"/>
        <v>0</v>
      </c>
      <c r="F22" s="88">
        <f t="shared" si="30"/>
        <v>0</v>
      </c>
      <c r="G22" s="88">
        <f t="shared" si="30"/>
        <v>0</v>
      </c>
      <c r="H22" s="88">
        <f t="shared" si="30"/>
        <v>0</v>
      </c>
      <c r="I22" s="88">
        <f t="shared" si="30"/>
        <v>0</v>
      </c>
      <c r="J22" s="88">
        <f t="shared" si="30"/>
        <v>0</v>
      </c>
      <c r="K22" s="88">
        <f t="shared" si="30"/>
        <v>0</v>
      </c>
      <c r="L22" s="88">
        <f t="shared" si="30"/>
        <v>0</v>
      </c>
      <c r="M22" s="88">
        <f t="shared" si="30"/>
        <v>0</v>
      </c>
      <c r="N22" s="88">
        <f t="shared" si="30"/>
        <v>0</v>
      </c>
      <c r="O22" s="88">
        <f t="shared" si="30"/>
        <v>0</v>
      </c>
      <c r="P22" s="88">
        <f t="shared" si="30"/>
        <v>105211.6</v>
      </c>
      <c r="Q22" s="103" t="str">
        <f t="shared" si="12"/>
        <v/>
      </c>
      <c r="S22" s="88">
        <f>SUM(S15:S21)</f>
        <v>111787.325</v>
      </c>
      <c r="T22" s="88">
        <f t="shared" ref="T22" si="31">SUM(T15:T21)</f>
        <v>0</v>
      </c>
      <c r="U22" s="88">
        <f t="shared" ref="U22" si="32">SUM(U15:U21)</f>
        <v>0</v>
      </c>
      <c r="V22" s="88">
        <f t="shared" ref="V22" si="33">SUM(V15:V21)</f>
        <v>0</v>
      </c>
      <c r="W22" s="88">
        <f t="shared" ref="W22" si="34">SUM(W15:W21)</f>
        <v>0</v>
      </c>
      <c r="X22" s="88">
        <f t="shared" ref="X22" si="35">SUM(X15:X21)</f>
        <v>22357.465</v>
      </c>
      <c r="Y22" s="88">
        <f t="shared" ref="Y22" si="36">SUM(Y15:Y21)</f>
        <v>0</v>
      </c>
      <c r="Z22" s="88">
        <f t="shared" ref="Z22" si="37">SUM(Z15:Z21)</f>
        <v>22357.465</v>
      </c>
      <c r="AA22" s="88">
        <f t="shared" ref="AA22" si="38">SUM(AA15:AA21)</f>
        <v>0</v>
      </c>
      <c r="AB22" s="88">
        <f t="shared" ref="AB22" si="39">SUM(AB15:AB21)</f>
        <v>22357.465</v>
      </c>
      <c r="AC22" s="88">
        <f t="shared" ref="AC22" si="40">SUM(AC15:AC21)</f>
        <v>0</v>
      </c>
      <c r="AD22" s="88">
        <f t="shared" ref="AD22" si="41">SUM(AD15:AD21)</f>
        <v>0</v>
      </c>
      <c r="AE22" s="88">
        <f t="shared" ref="AE22" si="42">SUM(AE15:AE21)</f>
        <v>22357.465</v>
      </c>
      <c r="AF22" s="88">
        <f t="shared" ref="AF22" si="43">SUM(AF15:AF21)</f>
        <v>22357.465</v>
      </c>
      <c r="AG22" s="103" t="str">
        <f t="shared" si="13"/>
        <v/>
      </c>
      <c r="AI22" s="88">
        <f>SUM(AI15:AI21)</f>
        <v>118363.05</v>
      </c>
      <c r="AJ22" s="88">
        <f t="shared" ref="AJ22:AV22" si="44">SUM(AJ15:AJ21)</f>
        <v>0</v>
      </c>
      <c r="AK22" s="88">
        <f t="shared" si="44"/>
        <v>0</v>
      </c>
      <c r="AL22" s="88">
        <f t="shared" si="44"/>
        <v>0</v>
      </c>
      <c r="AM22" s="88">
        <f t="shared" si="44"/>
        <v>0</v>
      </c>
      <c r="AN22" s="88">
        <f t="shared" si="44"/>
        <v>23672.61</v>
      </c>
      <c r="AO22" s="88">
        <f t="shared" si="44"/>
        <v>0</v>
      </c>
      <c r="AP22" s="88">
        <f t="shared" si="44"/>
        <v>23672.61</v>
      </c>
      <c r="AQ22" s="88">
        <f t="shared" si="44"/>
        <v>0</v>
      </c>
      <c r="AR22" s="88">
        <f t="shared" si="44"/>
        <v>23672.61</v>
      </c>
      <c r="AS22" s="88">
        <f t="shared" si="44"/>
        <v>0</v>
      </c>
      <c r="AT22" s="88">
        <f t="shared" si="44"/>
        <v>0</v>
      </c>
      <c r="AU22" s="88">
        <f t="shared" si="44"/>
        <v>23672.61</v>
      </c>
      <c r="AV22" s="88">
        <f t="shared" si="44"/>
        <v>23672.61</v>
      </c>
      <c r="AW22" s="83" t="str">
        <f t="shared" si="14"/>
        <v/>
      </c>
    </row>
    <row r="23" spans="1:49">
      <c r="A23" s="23" t="s">
        <v>28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03" t="str">
        <f t="shared" si="12"/>
        <v/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103" t="str">
        <f t="shared" si="13"/>
        <v/>
      </c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3" t="str">
        <f t="shared" si="14"/>
        <v/>
      </c>
    </row>
    <row r="24" spans="1:49">
      <c r="A24" s="23"/>
      <c r="B24" s="24" t="s">
        <v>7</v>
      </c>
      <c r="C24" s="89">
        <f>'Budget Summary'!C20</f>
        <v>0</v>
      </c>
      <c r="D24" s="89">
        <f>$C24*'Y1 Cash Flow Assumptions'!D24</f>
        <v>0</v>
      </c>
      <c r="E24" s="89">
        <f>$C24*'Y1 Cash Flow Assumptions'!E24</f>
        <v>0</v>
      </c>
      <c r="F24" s="89">
        <f>$C24*'Y1 Cash Flow Assumptions'!F24</f>
        <v>0</v>
      </c>
      <c r="G24" s="89">
        <f>$C24*'Y1 Cash Flow Assumptions'!G24</f>
        <v>0</v>
      </c>
      <c r="H24" s="89">
        <f>$C24*'Y1 Cash Flow Assumptions'!H24</f>
        <v>0</v>
      </c>
      <c r="I24" s="89">
        <f>$C24*'Y1 Cash Flow Assumptions'!I24</f>
        <v>0</v>
      </c>
      <c r="J24" s="90">
        <f>($C24*('Y1 Cash Flow Assumptions'!G24+'Y1 Cash Flow Assumptions'!J24))-SUM(D24:I24)</f>
        <v>0</v>
      </c>
      <c r="K24" s="89">
        <f>($C24-SUM($D24:$J24))*'Y1 Cash Flow Assumptions'!K24</f>
        <v>0</v>
      </c>
      <c r="L24" s="89">
        <f>($C24-SUM($D24:$J24))*'Y1 Cash Flow Assumptions'!L24</f>
        <v>0</v>
      </c>
      <c r="M24" s="89">
        <f>($C24-SUM($D24:$J24))*'Y1 Cash Flow Assumptions'!M24</f>
        <v>0</v>
      </c>
      <c r="N24" s="89">
        <f>($C24-SUM($D24:$J24))*'Y1 Cash Flow Assumptions'!N24</f>
        <v>0</v>
      </c>
      <c r="O24" s="89">
        <f>($C24-SUM($D24:$J24))*'Y1 Cash Flow Assumptions'!O24</f>
        <v>0</v>
      </c>
      <c r="P24" s="89">
        <f>($C24-SUM($D24:$J24))*'Y1 Cash Flow Assumptions'!P24</f>
        <v>0</v>
      </c>
      <c r="Q24" s="103" t="str">
        <f t="shared" si="12"/>
        <v/>
      </c>
      <c r="S24" s="89">
        <f>'Budget Summary'!D20</f>
        <v>0</v>
      </c>
      <c r="T24" s="89">
        <f>$C24*'Y2_3 Cash Flow Assumptions'!D24</f>
        <v>0</v>
      </c>
      <c r="U24" s="89">
        <f>$C24*'Y2_3 Cash Flow Assumptions'!E24</f>
        <v>0</v>
      </c>
      <c r="V24" s="89">
        <f>$C24*'Y2_3 Cash Flow Assumptions'!F24</f>
        <v>0</v>
      </c>
      <c r="W24" s="89">
        <f>$C24*'Y2_3 Cash Flow Assumptions'!G24</f>
        <v>0</v>
      </c>
      <c r="X24" s="89">
        <f>$C24*'Y2_3 Cash Flow Assumptions'!H24</f>
        <v>0</v>
      </c>
      <c r="Y24" s="89">
        <f>$C24*'Y2_3 Cash Flow Assumptions'!I24</f>
        <v>0</v>
      </c>
      <c r="Z24" s="89">
        <f>$C24*'Y2_3 Cash Flow Assumptions'!J24</f>
        <v>0</v>
      </c>
      <c r="AA24" s="89">
        <f>$C24*'Y2_3 Cash Flow Assumptions'!K24</f>
        <v>0</v>
      </c>
      <c r="AB24" s="89">
        <f>($S24-SUM($T24:$AA24))*'Y2_3 Cash Flow Assumptions'!L24</f>
        <v>0</v>
      </c>
      <c r="AC24" s="89">
        <f>($S24-SUM($T24:$AA24))*'Y2_3 Cash Flow Assumptions'!M24</f>
        <v>0</v>
      </c>
      <c r="AD24" s="89">
        <f>($S24-SUM($T24:$AA24))*'Y2_3 Cash Flow Assumptions'!N24</f>
        <v>0</v>
      </c>
      <c r="AE24" s="89">
        <f>($S24-SUM($T24:$AA24))*'Y2_3 Cash Flow Assumptions'!O24</f>
        <v>0</v>
      </c>
      <c r="AF24" s="89">
        <f>($S24-SUM($T24:$AA24))*'Y2_3 Cash Flow Assumptions'!P24</f>
        <v>0</v>
      </c>
      <c r="AG24" s="103" t="str">
        <f t="shared" si="13"/>
        <v/>
      </c>
      <c r="AI24" s="89">
        <f>'Budget Summary'!E20</f>
        <v>0</v>
      </c>
      <c r="AJ24" s="89">
        <f>$S24*'Y2_3 Cash Flow Assumptions'!D24</f>
        <v>0</v>
      </c>
      <c r="AK24" s="89">
        <f>$S24*'Y2_3 Cash Flow Assumptions'!E24</f>
        <v>0</v>
      </c>
      <c r="AL24" s="89">
        <f>$S24*'Y2_3 Cash Flow Assumptions'!F24</f>
        <v>0</v>
      </c>
      <c r="AM24" s="89">
        <f>$S24*'Y2_3 Cash Flow Assumptions'!G24</f>
        <v>0</v>
      </c>
      <c r="AN24" s="89">
        <f>$S24*'Y2_3 Cash Flow Assumptions'!H24</f>
        <v>0</v>
      </c>
      <c r="AO24" s="89">
        <f>$S24*'Y2_3 Cash Flow Assumptions'!I24</f>
        <v>0</v>
      </c>
      <c r="AP24" s="89">
        <f>$S24*'Y2_3 Cash Flow Assumptions'!J24</f>
        <v>0</v>
      </c>
      <c r="AQ24" s="89">
        <f>$S24*'Y2_3 Cash Flow Assumptions'!K24</f>
        <v>0</v>
      </c>
      <c r="AR24" s="90">
        <f>'Y2_3 Cash Flow Assumptions'!L24*('Cash Flow Input'!$AI24-SUM('Cash Flow Input'!$AJ24:$AQ24))</f>
        <v>0</v>
      </c>
      <c r="AS24" s="90">
        <f>'Y2_3 Cash Flow Assumptions'!M24*('Cash Flow Input'!$AI24-SUM('Cash Flow Input'!$AJ24:$AQ24))</f>
        <v>0</v>
      </c>
      <c r="AT24" s="90">
        <f>'Y2_3 Cash Flow Assumptions'!N24*('Cash Flow Input'!$AI24-SUM('Cash Flow Input'!$AJ24:$AQ24))</f>
        <v>0</v>
      </c>
      <c r="AU24" s="90">
        <f>'Y2_3 Cash Flow Assumptions'!O24*('Cash Flow Input'!$AI24-SUM('Cash Flow Input'!$AJ24:$AQ24))</f>
        <v>0</v>
      </c>
      <c r="AV24" s="90">
        <f>'Y2_3 Cash Flow Assumptions'!P24*('Cash Flow Input'!$AI24-SUM('Cash Flow Input'!$AJ24:$AQ24))</f>
        <v>0</v>
      </c>
      <c r="AW24" s="83" t="str">
        <f t="shared" si="14"/>
        <v/>
      </c>
    </row>
    <row r="25" spans="1:49">
      <c r="A25" s="23"/>
      <c r="B25" s="24" t="s">
        <v>31</v>
      </c>
      <c r="C25" s="89">
        <f>'Budget Summary'!C21</f>
        <v>0</v>
      </c>
      <c r="D25" s="89">
        <f>$C25*'Y1 Cash Flow Assumptions'!D25</f>
        <v>0</v>
      </c>
      <c r="E25" s="89">
        <f>$C25*'Y1 Cash Flow Assumptions'!E25</f>
        <v>0</v>
      </c>
      <c r="F25" s="89">
        <f>$C25*'Y1 Cash Flow Assumptions'!F25</f>
        <v>0</v>
      </c>
      <c r="G25" s="89">
        <f>$C25*'Y1 Cash Flow Assumptions'!G25</f>
        <v>0</v>
      </c>
      <c r="H25" s="89">
        <f>$C25*'Y1 Cash Flow Assumptions'!H25</f>
        <v>0</v>
      </c>
      <c r="I25" s="89">
        <f>$C25*'Y1 Cash Flow Assumptions'!I25</f>
        <v>0</v>
      </c>
      <c r="J25" s="89">
        <f>$C25*'Y1 Cash Flow Assumptions'!J25</f>
        <v>0</v>
      </c>
      <c r="K25" s="89">
        <f>$C25*'Y1 Cash Flow Assumptions'!K25</f>
        <v>0</v>
      </c>
      <c r="L25" s="89">
        <f>$C25*'Y1 Cash Flow Assumptions'!L25</f>
        <v>0</v>
      </c>
      <c r="M25" s="89">
        <f>$C25*'Y1 Cash Flow Assumptions'!M25</f>
        <v>0</v>
      </c>
      <c r="N25" s="89">
        <f>$C25*'Y1 Cash Flow Assumptions'!N25</f>
        <v>0</v>
      </c>
      <c r="O25" s="89">
        <f>$C25*'Y1 Cash Flow Assumptions'!O25</f>
        <v>0</v>
      </c>
      <c r="P25" s="89">
        <f>$C25*'Y1 Cash Flow Assumptions'!P25</f>
        <v>0</v>
      </c>
      <c r="Q25" s="103" t="str">
        <f t="shared" si="12"/>
        <v/>
      </c>
      <c r="S25" s="89">
        <f>'Budget Summary'!D21</f>
        <v>0</v>
      </c>
      <c r="T25" s="89">
        <f>$S25*'Y2_3 Cash Flow Assumptions'!D25</f>
        <v>0</v>
      </c>
      <c r="U25" s="89">
        <f>$S25*'Y2_3 Cash Flow Assumptions'!E25</f>
        <v>0</v>
      </c>
      <c r="V25" s="89">
        <f>$S25*'Y2_3 Cash Flow Assumptions'!F25</f>
        <v>0</v>
      </c>
      <c r="W25" s="89">
        <f>$S25*'Y2_3 Cash Flow Assumptions'!G25</f>
        <v>0</v>
      </c>
      <c r="X25" s="89">
        <f>$S25*'Y2_3 Cash Flow Assumptions'!H25</f>
        <v>0</v>
      </c>
      <c r="Y25" s="89">
        <f>$S25*'Y2_3 Cash Flow Assumptions'!I25</f>
        <v>0</v>
      </c>
      <c r="Z25" s="89">
        <f>$S25*'Y2_3 Cash Flow Assumptions'!J25</f>
        <v>0</v>
      </c>
      <c r="AA25" s="89">
        <f>$S25*'Y2_3 Cash Flow Assumptions'!K25</f>
        <v>0</v>
      </c>
      <c r="AB25" s="89">
        <f>$S25*'Y2_3 Cash Flow Assumptions'!L25</f>
        <v>0</v>
      </c>
      <c r="AC25" s="89">
        <f>$S25*'Y2_3 Cash Flow Assumptions'!M25</f>
        <v>0</v>
      </c>
      <c r="AD25" s="89">
        <f>$S25*'Y2_3 Cash Flow Assumptions'!N25</f>
        <v>0</v>
      </c>
      <c r="AE25" s="89">
        <f>$S25*'Y2_3 Cash Flow Assumptions'!O25</f>
        <v>0</v>
      </c>
      <c r="AF25" s="89">
        <f>$S25*'Y2_3 Cash Flow Assumptions'!P25</f>
        <v>0</v>
      </c>
      <c r="AG25" s="103" t="str">
        <f t="shared" si="13"/>
        <v/>
      </c>
      <c r="AI25" s="89">
        <f>'Budget Summary'!E21</f>
        <v>0</v>
      </c>
      <c r="AJ25" s="89">
        <f>$AI25*'Y2_3 Cash Flow Assumptions'!D25</f>
        <v>0</v>
      </c>
      <c r="AK25" s="89">
        <f>$AI25*'Y2_3 Cash Flow Assumptions'!E25</f>
        <v>0</v>
      </c>
      <c r="AL25" s="89">
        <f>$AI25*'Y2_3 Cash Flow Assumptions'!F25</f>
        <v>0</v>
      </c>
      <c r="AM25" s="89">
        <f>$AI25*'Y2_3 Cash Flow Assumptions'!G25</f>
        <v>0</v>
      </c>
      <c r="AN25" s="89">
        <f>$AI25*'Y2_3 Cash Flow Assumptions'!H25</f>
        <v>0</v>
      </c>
      <c r="AO25" s="89">
        <f>$AI25*'Y2_3 Cash Flow Assumptions'!I25</f>
        <v>0</v>
      </c>
      <c r="AP25" s="89">
        <f>$AI25*'Y2_3 Cash Flow Assumptions'!J25</f>
        <v>0</v>
      </c>
      <c r="AQ25" s="89">
        <f>$AI25*'Y2_3 Cash Flow Assumptions'!K25</f>
        <v>0</v>
      </c>
      <c r="AR25" s="89">
        <f>$AI25*'Y2_3 Cash Flow Assumptions'!L25</f>
        <v>0</v>
      </c>
      <c r="AS25" s="89">
        <f>$AI25*'Y2_3 Cash Flow Assumptions'!M25</f>
        <v>0</v>
      </c>
      <c r="AT25" s="89">
        <f>$AI25*'Y2_3 Cash Flow Assumptions'!N25</f>
        <v>0</v>
      </c>
      <c r="AU25" s="89">
        <f>$AI25*'Y2_3 Cash Flow Assumptions'!O25</f>
        <v>0</v>
      </c>
      <c r="AV25" s="89">
        <f>$AI25*'Y2_3 Cash Flow Assumptions'!P25</f>
        <v>0</v>
      </c>
      <c r="AW25" s="83" t="str">
        <f t="shared" si="14"/>
        <v/>
      </c>
    </row>
    <row r="26" spans="1:49">
      <c r="A26" s="23"/>
      <c r="B26" s="24" t="s">
        <v>32</v>
      </c>
      <c r="C26" s="89">
        <f>'Budget Summary'!C22</f>
        <v>0</v>
      </c>
      <c r="D26" s="89">
        <f>$C26*'Y1 Cash Flow Assumptions'!D26</f>
        <v>0</v>
      </c>
      <c r="E26" s="89">
        <f>$C26*'Y1 Cash Flow Assumptions'!E26</f>
        <v>0</v>
      </c>
      <c r="F26" s="89">
        <f>$C26*'Y1 Cash Flow Assumptions'!F26</f>
        <v>0</v>
      </c>
      <c r="G26" s="89">
        <f>$C26*'Y1 Cash Flow Assumptions'!G26</f>
        <v>0</v>
      </c>
      <c r="H26" s="89">
        <f>$C26*'Y1 Cash Flow Assumptions'!H26</f>
        <v>0</v>
      </c>
      <c r="I26" s="89">
        <f>$C26*'Y1 Cash Flow Assumptions'!I26</f>
        <v>0</v>
      </c>
      <c r="J26" s="89">
        <f>$C26*'Y1 Cash Flow Assumptions'!J26</f>
        <v>0</v>
      </c>
      <c r="K26" s="89">
        <f>$C26*'Y1 Cash Flow Assumptions'!K26</f>
        <v>0</v>
      </c>
      <c r="L26" s="89">
        <f>$C26*'Y1 Cash Flow Assumptions'!L26</f>
        <v>0</v>
      </c>
      <c r="M26" s="89">
        <f>$C26*'Y1 Cash Flow Assumptions'!M26</f>
        <v>0</v>
      </c>
      <c r="N26" s="89">
        <f>$C26*'Y1 Cash Flow Assumptions'!N26</f>
        <v>0</v>
      </c>
      <c r="O26" s="89">
        <f>$C26*'Y1 Cash Flow Assumptions'!O26</f>
        <v>0</v>
      </c>
      <c r="P26" s="89">
        <f>$C26*'Y1 Cash Flow Assumptions'!P26</f>
        <v>0</v>
      </c>
      <c r="Q26" s="103" t="str">
        <f t="shared" si="12"/>
        <v/>
      </c>
      <c r="S26" s="89">
        <f>'Budget Summary'!D22</f>
        <v>5400</v>
      </c>
      <c r="T26" s="89">
        <f>$S26*'Y2_3 Cash Flow Assumptions'!D26</f>
        <v>0</v>
      </c>
      <c r="U26" s="89">
        <f>$S26*'Y2_3 Cash Flow Assumptions'!E26</f>
        <v>0</v>
      </c>
      <c r="V26" s="89">
        <f>$S26*'Y2_3 Cash Flow Assumptions'!F26</f>
        <v>0</v>
      </c>
      <c r="W26" s="89">
        <f>$S26*'Y2_3 Cash Flow Assumptions'!G26</f>
        <v>0</v>
      </c>
      <c r="X26" s="89">
        <f>$S26*'Y2_3 Cash Flow Assumptions'!H26</f>
        <v>0</v>
      </c>
      <c r="Y26" s="89">
        <f>$S26*'Y2_3 Cash Flow Assumptions'!I26</f>
        <v>5400</v>
      </c>
      <c r="Z26" s="89">
        <f>$S26*'Y2_3 Cash Flow Assumptions'!J26</f>
        <v>0</v>
      </c>
      <c r="AA26" s="89">
        <f>$S26*'Y2_3 Cash Flow Assumptions'!K26</f>
        <v>0</v>
      </c>
      <c r="AB26" s="89">
        <f>$S26*'Y2_3 Cash Flow Assumptions'!L26</f>
        <v>0</v>
      </c>
      <c r="AC26" s="89">
        <f>$S26*'Y2_3 Cash Flow Assumptions'!M26</f>
        <v>0</v>
      </c>
      <c r="AD26" s="89">
        <f>$S26*'Y2_3 Cash Flow Assumptions'!N26</f>
        <v>0</v>
      </c>
      <c r="AE26" s="89">
        <f>$S26*'Y2_3 Cash Flow Assumptions'!O26</f>
        <v>0</v>
      </c>
      <c r="AF26" s="89">
        <f>$S26*'Y2_3 Cash Flow Assumptions'!P26</f>
        <v>0</v>
      </c>
      <c r="AG26" s="103" t="str">
        <f t="shared" si="13"/>
        <v/>
      </c>
      <c r="AI26" s="89">
        <f>'Budget Summary'!E22</f>
        <v>5435.3250000000007</v>
      </c>
      <c r="AJ26" s="89">
        <f>$AI26*'Y2_3 Cash Flow Assumptions'!D26</f>
        <v>0</v>
      </c>
      <c r="AK26" s="89">
        <f>$AI26*'Y2_3 Cash Flow Assumptions'!E26</f>
        <v>0</v>
      </c>
      <c r="AL26" s="89">
        <f>$AI26*'Y2_3 Cash Flow Assumptions'!F26</f>
        <v>0</v>
      </c>
      <c r="AM26" s="89">
        <f>$AI26*'Y2_3 Cash Flow Assumptions'!G26</f>
        <v>0</v>
      </c>
      <c r="AN26" s="89">
        <f>$AI26*'Y2_3 Cash Flow Assumptions'!H26</f>
        <v>0</v>
      </c>
      <c r="AO26" s="89">
        <f>$AI26*'Y2_3 Cash Flow Assumptions'!I26</f>
        <v>5435.3250000000007</v>
      </c>
      <c r="AP26" s="89">
        <f>$AI26*'Y2_3 Cash Flow Assumptions'!J26</f>
        <v>0</v>
      </c>
      <c r="AQ26" s="89">
        <f>$AI26*'Y2_3 Cash Flow Assumptions'!K26</f>
        <v>0</v>
      </c>
      <c r="AR26" s="89">
        <f>$AI26*'Y2_3 Cash Flow Assumptions'!L26</f>
        <v>0</v>
      </c>
      <c r="AS26" s="89">
        <f>$AI26*'Y2_3 Cash Flow Assumptions'!M26</f>
        <v>0</v>
      </c>
      <c r="AT26" s="89">
        <f>$AI26*'Y2_3 Cash Flow Assumptions'!N26</f>
        <v>0</v>
      </c>
      <c r="AU26" s="89">
        <f>$AI26*'Y2_3 Cash Flow Assumptions'!O26</f>
        <v>0</v>
      </c>
      <c r="AV26" s="89">
        <f>$AI26*'Y2_3 Cash Flow Assumptions'!P26</f>
        <v>0</v>
      </c>
      <c r="AW26" s="83" t="str">
        <f t="shared" si="14"/>
        <v/>
      </c>
    </row>
    <row r="27" spans="1:49">
      <c r="A27" s="23"/>
      <c r="B27" s="24" t="s">
        <v>33</v>
      </c>
      <c r="C27" s="89">
        <f>'Budget Summary'!C23</f>
        <v>68040</v>
      </c>
      <c r="D27" s="89">
        <f>$C27*'Y1 Cash Flow Assumptions'!D27</f>
        <v>0</v>
      </c>
      <c r="E27" s="89">
        <f>$C27*'Y1 Cash Flow Assumptions'!E27</f>
        <v>0</v>
      </c>
      <c r="F27" s="89">
        <f>$C27*'Y1 Cash Flow Assumptions'!F27</f>
        <v>0</v>
      </c>
      <c r="G27" s="89">
        <f>$C27*'Y1 Cash Flow Assumptions'!G27</f>
        <v>0</v>
      </c>
      <c r="H27" s="89">
        <f>$C27*'Y1 Cash Flow Assumptions'!H27</f>
        <v>0</v>
      </c>
      <c r="I27" s="89">
        <f>$C27*'Y1 Cash Flow Assumptions'!I27</f>
        <v>0</v>
      </c>
      <c r="J27" s="89">
        <f>$C27*'Y1 Cash Flow Assumptions'!J27</f>
        <v>0</v>
      </c>
      <c r="K27" s="89">
        <f>$C27*'Y1 Cash Flow Assumptions'!K27</f>
        <v>0</v>
      </c>
      <c r="L27" s="89">
        <f>$C27*'Y1 Cash Flow Assumptions'!L27</f>
        <v>0</v>
      </c>
      <c r="M27" s="89">
        <f>$C27*'Y1 Cash Flow Assumptions'!M27</f>
        <v>0</v>
      </c>
      <c r="N27" s="89">
        <f>$C27*'Y1 Cash Flow Assumptions'!N27</f>
        <v>0</v>
      </c>
      <c r="O27" s="89">
        <f>$C27*'Y1 Cash Flow Assumptions'!O27</f>
        <v>0</v>
      </c>
      <c r="P27" s="89">
        <f>$C27*'Y1 Cash Flow Assumptions'!P27</f>
        <v>68040</v>
      </c>
      <c r="Q27" s="103" t="str">
        <f t="shared" si="12"/>
        <v/>
      </c>
      <c r="S27" s="89">
        <f>'Budget Summary'!D23</f>
        <v>72292.5</v>
      </c>
      <c r="T27" s="89">
        <f>$S27*'Y2_3 Cash Flow Assumptions'!D27</f>
        <v>0</v>
      </c>
      <c r="U27" s="89">
        <f>$S27*'Y2_3 Cash Flow Assumptions'!E27</f>
        <v>0</v>
      </c>
      <c r="V27" s="89">
        <f>$S27*'Y2_3 Cash Flow Assumptions'!F27</f>
        <v>0</v>
      </c>
      <c r="W27" s="89">
        <f>$S27*'Y2_3 Cash Flow Assumptions'!G27</f>
        <v>0</v>
      </c>
      <c r="X27" s="89">
        <f>$S27*'Y2_3 Cash Flow Assumptions'!H27</f>
        <v>0</v>
      </c>
      <c r="Y27" s="89">
        <f>$S27*'Y2_3 Cash Flow Assumptions'!I27</f>
        <v>0</v>
      </c>
      <c r="Z27" s="89">
        <f>$S27*'Y2_3 Cash Flow Assumptions'!J27</f>
        <v>18073.125</v>
      </c>
      <c r="AA27" s="89">
        <f>$S27*'Y2_3 Cash Flow Assumptions'!K27</f>
        <v>0</v>
      </c>
      <c r="AB27" s="89">
        <f>$S27*'Y2_3 Cash Flow Assumptions'!L27</f>
        <v>0</v>
      </c>
      <c r="AC27" s="89">
        <f>$S27*'Y2_3 Cash Flow Assumptions'!M27</f>
        <v>18073.125</v>
      </c>
      <c r="AD27" s="89">
        <f>$S27*'Y2_3 Cash Flow Assumptions'!N27</f>
        <v>0</v>
      </c>
      <c r="AE27" s="89">
        <f>$S27*'Y2_3 Cash Flow Assumptions'!O27</f>
        <v>0</v>
      </c>
      <c r="AF27" s="89">
        <f>$S27*'Y2_3 Cash Flow Assumptions'!P27</f>
        <v>36146.25</v>
      </c>
      <c r="AG27" s="103" t="str">
        <f t="shared" si="13"/>
        <v/>
      </c>
      <c r="AI27" s="89">
        <f>'Budget Summary'!E23</f>
        <v>76545</v>
      </c>
      <c r="AJ27" s="89">
        <f>$AI27*'Y2_3 Cash Flow Assumptions'!D27</f>
        <v>0</v>
      </c>
      <c r="AK27" s="89">
        <f>$AI27*'Y2_3 Cash Flow Assumptions'!E27</f>
        <v>0</v>
      </c>
      <c r="AL27" s="89">
        <f>$AI27*'Y2_3 Cash Flow Assumptions'!F27</f>
        <v>0</v>
      </c>
      <c r="AM27" s="89">
        <f>$AI27*'Y2_3 Cash Flow Assumptions'!G27</f>
        <v>0</v>
      </c>
      <c r="AN27" s="89">
        <f>$AI27*'Y2_3 Cash Flow Assumptions'!H27</f>
        <v>0</v>
      </c>
      <c r="AO27" s="89">
        <f>$AI27*'Y2_3 Cash Flow Assumptions'!I27</f>
        <v>0</v>
      </c>
      <c r="AP27" s="89">
        <f>$AI27*'Y2_3 Cash Flow Assumptions'!J27</f>
        <v>19136.25</v>
      </c>
      <c r="AQ27" s="89">
        <f>$AI27*'Y2_3 Cash Flow Assumptions'!K27</f>
        <v>0</v>
      </c>
      <c r="AR27" s="89">
        <f>$AI27*'Y2_3 Cash Flow Assumptions'!L27</f>
        <v>0</v>
      </c>
      <c r="AS27" s="89">
        <f>$AI27*'Y2_3 Cash Flow Assumptions'!M27</f>
        <v>19136.25</v>
      </c>
      <c r="AT27" s="89">
        <f>$AI27*'Y2_3 Cash Flow Assumptions'!N27</f>
        <v>0</v>
      </c>
      <c r="AU27" s="89">
        <f>$AI27*'Y2_3 Cash Flow Assumptions'!O27</f>
        <v>0</v>
      </c>
      <c r="AV27" s="89">
        <f>$AI27*'Y2_3 Cash Flow Assumptions'!P27</f>
        <v>38272.5</v>
      </c>
      <c r="AW27" s="83" t="str">
        <f t="shared" si="14"/>
        <v/>
      </c>
    </row>
    <row r="28" spans="1:49">
      <c r="A28" s="23"/>
      <c r="B28" s="24" t="s">
        <v>34</v>
      </c>
      <c r="C28" s="89">
        <f>'Budget Summary'!C24</f>
        <v>0</v>
      </c>
      <c r="D28" s="89">
        <f>$C28*'Y1 Cash Flow Assumptions'!D28</f>
        <v>0</v>
      </c>
      <c r="E28" s="89">
        <f>$C28*'Y1 Cash Flow Assumptions'!E28</f>
        <v>0</v>
      </c>
      <c r="F28" s="89">
        <f>$C28*'Y1 Cash Flow Assumptions'!F28</f>
        <v>0</v>
      </c>
      <c r="G28" s="89">
        <f>$C28*'Y1 Cash Flow Assumptions'!G28</f>
        <v>0</v>
      </c>
      <c r="H28" s="89">
        <f>$C28*'Y1 Cash Flow Assumptions'!H28</f>
        <v>0</v>
      </c>
      <c r="I28" s="89">
        <f>$C28*'Y1 Cash Flow Assumptions'!I28</f>
        <v>0</v>
      </c>
      <c r="J28" s="89">
        <f>$C28*'Y1 Cash Flow Assumptions'!J28</f>
        <v>0</v>
      </c>
      <c r="K28" s="89">
        <f>$C28*'Y1 Cash Flow Assumptions'!K28</f>
        <v>0</v>
      </c>
      <c r="L28" s="89">
        <f>$C28*'Y1 Cash Flow Assumptions'!L28</f>
        <v>0</v>
      </c>
      <c r="M28" s="89">
        <f>$C28*'Y1 Cash Flow Assumptions'!M28</f>
        <v>0</v>
      </c>
      <c r="N28" s="89">
        <f>$C28*'Y1 Cash Flow Assumptions'!N28</f>
        <v>0</v>
      </c>
      <c r="O28" s="89">
        <f>$C28*'Y1 Cash Flow Assumptions'!O28</f>
        <v>0</v>
      </c>
      <c r="P28" s="89">
        <f>$C28*'Y1 Cash Flow Assumptions'!P28</f>
        <v>0</v>
      </c>
      <c r="Q28" s="103" t="str">
        <f t="shared" si="12"/>
        <v/>
      </c>
      <c r="S28" s="89">
        <f>'Budget Summary'!D24</f>
        <v>0</v>
      </c>
      <c r="T28" s="89">
        <f>$S28*'Y2_3 Cash Flow Assumptions'!D28</f>
        <v>0</v>
      </c>
      <c r="U28" s="89">
        <f>$S28*'Y2_3 Cash Flow Assumptions'!E28</f>
        <v>0</v>
      </c>
      <c r="V28" s="89">
        <f>$S28*'Y2_3 Cash Flow Assumptions'!F28</f>
        <v>0</v>
      </c>
      <c r="W28" s="89">
        <f>$S28*'Y2_3 Cash Flow Assumptions'!G28</f>
        <v>0</v>
      </c>
      <c r="X28" s="89">
        <f>$S28*'Y2_3 Cash Flow Assumptions'!H28</f>
        <v>0</v>
      </c>
      <c r="Y28" s="89">
        <f>$S28*'Y2_3 Cash Flow Assumptions'!I28</f>
        <v>0</v>
      </c>
      <c r="Z28" s="89">
        <f>$S28*'Y2_3 Cash Flow Assumptions'!J28</f>
        <v>0</v>
      </c>
      <c r="AA28" s="89">
        <f>$S28*'Y2_3 Cash Flow Assumptions'!K28</f>
        <v>0</v>
      </c>
      <c r="AB28" s="89">
        <f>$S28*'Y2_3 Cash Flow Assumptions'!L28</f>
        <v>0</v>
      </c>
      <c r="AC28" s="89">
        <f>$S28*'Y2_3 Cash Flow Assumptions'!M28</f>
        <v>0</v>
      </c>
      <c r="AD28" s="89">
        <f>$S28*'Y2_3 Cash Flow Assumptions'!N28</f>
        <v>0</v>
      </c>
      <c r="AE28" s="89">
        <f>$S28*'Y2_3 Cash Flow Assumptions'!O28</f>
        <v>0</v>
      </c>
      <c r="AF28" s="89">
        <f>$S28*'Y2_3 Cash Flow Assumptions'!P28</f>
        <v>0</v>
      </c>
      <c r="AG28" s="103" t="str">
        <f t="shared" si="13"/>
        <v/>
      </c>
      <c r="AI28" s="89">
        <f>'Budget Summary'!E24</f>
        <v>0</v>
      </c>
      <c r="AJ28" s="89">
        <f>$AI28*'Y2_3 Cash Flow Assumptions'!D28</f>
        <v>0</v>
      </c>
      <c r="AK28" s="89">
        <f>$AI28*'Y2_3 Cash Flow Assumptions'!E28</f>
        <v>0</v>
      </c>
      <c r="AL28" s="89">
        <f>$AI28*'Y2_3 Cash Flow Assumptions'!F28</f>
        <v>0</v>
      </c>
      <c r="AM28" s="89">
        <f>$AI28*'Y2_3 Cash Flow Assumptions'!G28</f>
        <v>0</v>
      </c>
      <c r="AN28" s="89">
        <f>$AI28*'Y2_3 Cash Flow Assumptions'!H28</f>
        <v>0</v>
      </c>
      <c r="AO28" s="89">
        <f>$AI28*'Y2_3 Cash Flow Assumptions'!I28</f>
        <v>0</v>
      </c>
      <c r="AP28" s="89">
        <f>$AI28*'Y2_3 Cash Flow Assumptions'!J28</f>
        <v>0</v>
      </c>
      <c r="AQ28" s="89">
        <f>$AI28*'Y2_3 Cash Flow Assumptions'!K28</f>
        <v>0</v>
      </c>
      <c r="AR28" s="89">
        <f>$AI28*'Y2_3 Cash Flow Assumptions'!L28</f>
        <v>0</v>
      </c>
      <c r="AS28" s="89">
        <f>$AI28*'Y2_3 Cash Flow Assumptions'!M28</f>
        <v>0</v>
      </c>
      <c r="AT28" s="89">
        <f>$AI28*'Y2_3 Cash Flow Assumptions'!N28</f>
        <v>0</v>
      </c>
      <c r="AU28" s="89">
        <f>$AI28*'Y2_3 Cash Flow Assumptions'!O28</f>
        <v>0</v>
      </c>
      <c r="AV28" s="89">
        <f>$AI28*'Y2_3 Cash Flow Assumptions'!P28</f>
        <v>0</v>
      </c>
      <c r="AW28" s="83" t="str">
        <f t="shared" si="14"/>
        <v/>
      </c>
    </row>
    <row r="29" spans="1:49">
      <c r="A29" s="23"/>
      <c r="B29" s="24" t="s">
        <v>8</v>
      </c>
      <c r="C29" s="89">
        <f>'Budget Summary'!C25</f>
        <v>0</v>
      </c>
      <c r="D29" s="89">
        <f>$C29*'Y1 Cash Flow Assumptions'!D29</f>
        <v>0</v>
      </c>
      <c r="E29" s="89">
        <f>$C29*'Y1 Cash Flow Assumptions'!E29</f>
        <v>0</v>
      </c>
      <c r="F29" s="89">
        <f>$C29*'Y1 Cash Flow Assumptions'!F29</f>
        <v>0</v>
      </c>
      <c r="G29" s="89">
        <f>$C29*'Y1 Cash Flow Assumptions'!G29</f>
        <v>0</v>
      </c>
      <c r="H29" s="89">
        <f>$C29*'Y1 Cash Flow Assumptions'!H29</f>
        <v>0</v>
      </c>
      <c r="I29" s="89">
        <f>$C29*'Y1 Cash Flow Assumptions'!I29</f>
        <v>0</v>
      </c>
      <c r="J29" s="90">
        <f>($C29*('Y1 Cash Flow Assumptions'!G29+'Y1 Cash Flow Assumptions'!J29))-SUM(D29:I29)</f>
        <v>0</v>
      </c>
      <c r="K29" s="89">
        <f>($C29-SUM($D29:$J29))*'Y1 Cash Flow Assumptions'!K29</f>
        <v>0</v>
      </c>
      <c r="L29" s="89">
        <f>($C29-SUM($D29:$J29))*'Y1 Cash Flow Assumptions'!L29</f>
        <v>0</v>
      </c>
      <c r="M29" s="89">
        <f>($C29-SUM($D29:$J29))*'Y1 Cash Flow Assumptions'!M29</f>
        <v>0</v>
      </c>
      <c r="N29" s="89">
        <f>($C29-SUM($D29:$J29))*'Y1 Cash Flow Assumptions'!N29</f>
        <v>0</v>
      </c>
      <c r="O29" s="89">
        <f>($C29-SUM($D29:$J29))*'Y1 Cash Flow Assumptions'!O29</f>
        <v>0</v>
      </c>
      <c r="P29" s="89">
        <f>($C29-SUM($D29:$J29))*'Y1 Cash Flow Assumptions'!P29</f>
        <v>0</v>
      </c>
      <c r="Q29" s="103" t="str">
        <f t="shared" si="12"/>
        <v/>
      </c>
      <c r="S29" s="89">
        <f>'Budget Summary'!D25</f>
        <v>0</v>
      </c>
      <c r="T29" s="89">
        <f>$C29*'Y2_3 Cash Flow Assumptions'!D29</f>
        <v>0</v>
      </c>
      <c r="U29" s="89">
        <f>$C29*'Y2_3 Cash Flow Assumptions'!E29</f>
        <v>0</v>
      </c>
      <c r="V29" s="89">
        <f>$C29*'Y2_3 Cash Flow Assumptions'!F29</f>
        <v>0</v>
      </c>
      <c r="W29" s="89">
        <f>$C29*'Y2_3 Cash Flow Assumptions'!G29</f>
        <v>0</v>
      </c>
      <c r="X29" s="89">
        <f>$C29*'Y2_3 Cash Flow Assumptions'!H29</f>
        <v>0</v>
      </c>
      <c r="Y29" s="89">
        <f>$C29*'Y2_3 Cash Flow Assumptions'!I29</f>
        <v>0</v>
      </c>
      <c r="Z29" s="89">
        <f>$C29*'Y2_3 Cash Flow Assumptions'!J29</f>
        <v>0</v>
      </c>
      <c r="AA29" s="89">
        <f>$C29*'Y2_3 Cash Flow Assumptions'!K29</f>
        <v>0</v>
      </c>
      <c r="AB29" s="89">
        <f>($S29-SUM($T29:$AA29))*'Y2_3 Cash Flow Assumptions'!L29</f>
        <v>0</v>
      </c>
      <c r="AC29" s="89">
        <f>($S29-SUM($T29:$AA29))*'Y2_3 Cash Flow Assumptions'!M29</f>
        <v>0</v>
      </c>
      <c r="AD29" s="89">
        <f>($S29-SUM($T29:$AA29))*'Y2_3 Cash Flow Assumptions'!N29</f>
        <v>0</v>
      </c>
      <c r="AE29" s="89">
        <f>($S29-SUM($T29:$AA29))*'Y2_3 Cash Flow Assumptions'!O29</f>
        <v>0</v>
      </c>
      <c r="AF29" s="89">
        <f>($S29-SUM($T29:$AA29))*'Y2_3 Cash Flow Assumptions'!P29</f>
        <v>0</v>
      </c>
      <c r="AG29" s="103" t="str">
        <f t="shared" si="13"/>
        <v/>
      </c>
      <c r="AI29" s="89">
        <f>'Budget Summary'!E25</f>
        <v>0</v>
      </c>
      <c r="AJ29" s="89">
        <f>$S29*'Y2_3 Cash Flow Assumptions'!D29</f>
        <v>0</v>
      </c>
      <c r="AK29" s="89">
        <f>$S29*'Y2_3 Cash Flow Assumptions'!E29</f>
        <v>0</v>
      </c>
      <c r="AL29" s="89">
        <f>$S29*'Y2_3 Cash Flow Assumptions'!F29</f>
        <v>0</v>
      </c>
      <c r="AM29" s="89">
        <f>$S29*'Y2_3 Cash Flow Assumptions'!G29</f>
        <v>0</v>
      </c>
      <c r="AN29" s="89">
        <f>$S29*'Y2_3 Cash Flow Assumptions'!H29</f>
        <v>0</v>
      </c>
      <c r="AO29" s="89">
        <f>$S29*'Y2_3 Cash Flow Assumptions'!I29</f>
        <v>0</v>
      </c>
      <c r="AP29" s="89">
        <f>$S29*'Y2_3 Cash Flow Assumptions'!J29</f>
        <v>0</v>
      </c>
      <c r="AQ29" s="89">
        <f>$S29*'Y2_3 Cash Flow Assumptions'!K29</f>
        <v>0</v>
      </c>
      <c r="AR29" s="90">
        <f>'Y2_3 Cash Flow Assumptions'!L29*('Cash Flow Input'!$AI29-SUM('Cash Flow Input'!$AJ29:$AQ29))</f>
        <v>0</v>
      </c>
      <c r="AS29" s="90">
        <f>'Y2_3 Cash Flow Assumptions'!M29*('Cash Flow Input'!$AI29-SUM('Cash Flow Input'!$AJ29:$AQ29))</f>
        <v>0</v>
      </c>
      <c r="AT29" s="90">
        <f>'Y2_3 Cash Flow Assumptions'!N29*('Cash Flow Input'!$AI29-SUM('Cash Flow Input'!$AJ29:$AQ29))</f>
        <v>0</v>
      </c>
      <c r="AU29" s="90">
        <f>'Y2_3 Cash Flow Assumptions'!O29*('Cash Flow Input'!$AI29-SUM('Cash Flow Input'!$AJ29:$AQ29))</f>
        <v>0</v>
      </c>
      <c r="AV29" s="90">
        <f>'Y2_3 Cash Flow Assumptions'!P29*('Cash Flow Input'!$AI29-SUM('Cash Flow Input'!$AJ29:$AQ29))</f>
        <v>0</v>
      </c>
      <c r="AW29" s="83" t="str">
        <f t="shared" si="14"/>
        <v/>
      </c>
    </row>
    <row r="30" spans="1:49" s="23" customFormat="1">
      <c r="A30" s="23" t="s">
        <v>28</v>
      </c>
      <c r="C30" s="88">
        <f>SUM(C24:C29)</f>
        <v>68040</v>
      </c>
      <c r="D30" s="88">
        <f t="shared" ref="D30:P30" si="45">SUM(D24:D29)</f>
        <v>0</v>
      </c>
      <c r="E30" s="88">
        <f t="shared" si="45"/>
        <v>0</v>
      </c>
      <c r="F30" s="88">
        <f t="shared" si="45"/>
        <v>0</v>
      </c>
      <c r="G30" s="88">
        <f t="shared" si="45"/>
        <v>0</v>
      </c>
      <c r="H30" s="88">
        <f t="shared" si="45"/>
        <v>0</v>
      </c>
      <c r="I30" s="88">
        <f t="shared" si="45"/>
        <v>0</v>
      </c>
      <c r="J30" s="88">
        <f t="shared" si="45"/>
        <v>0</v>
      </c>
      <c r="K30" s="88">
        <f t="shared" si="45"/>
        <v>0</v>
      </c>
      <c r="L30" s="88">
        <f t="shared" si="45"/>
        <v>0</v>
      </c>
      <c r="M30" s="88">
        <f t="shared" si="45"/>
        <v>0</v>
      </c>
      <c r="N30" s="88">
        <f t="shared" si="45"/>
        <v>0</v>
      </c>
      <c r="O30" s="88">
        <f t="shared" si="45"/>
        <v>0</v>
      </c>
      <c r="P30" s="88">
        <f t="shared" si="45"/>
        <v>68040</v>
      </c>
      <c r="Q30" s="103" t="str">
        <f t="shared" si="12"/>
        <v/>
      </c>
      <c r="S30" s="88">
        <f>SUM(S24:S29)</f>
        <v>77692.5</v>
      </c>
      <c r="T30" s="88">
        <f t="shared" ref="T30" si="46">SUM(T24:T29)</f>
        <v>0</v>
      </c>
      <c r="U30" s="88">
        <f t="shared" ref="U30" si="47">SUM(U24:U29)</f>
        <v>0</v>
      </c>
      <c r="V30" s="88">
        <f t="shared" ref="V30" si="48">SUM(V24:V29)</f>
        <v>0</v>
      </c>
      <c r="W30" s="88">
        <f t="shared" ref="W30" si="49">SUM(W24:W29)</f>
        <v>0</v>
      </c>
      <c r="X30" s="88">
        <f t="shared" ref="X30" si="50">SUM(X24:X29)</f>
        <v>0</v>
      </c>
      <c r="Y30" s="88">
        <f t="shared" ref="Y30" si="51">SUM(Y24:Y29)</f>
        <v>5400</v>
      </c>
      <c r="Z30" s="88">
        <f t="shared" ref="Z30" si="52">SUM(Z24:Z29)</f>
        <v>18073.125</v>
      </c>
      <c r="AA30" s="88">
        <f t="shared" ref="AA30" si="53">SUM(AA24:AA29)</f>
        <v>0</v>
      </c>
      <c r="AB30" s="88">
        <f t="shared" ref="AB30" si="54">SUM(AB24:AB29)</f>
        <v>0</v>
      </c>
      <c r="AC30" s="88">
        <f t="shared" ref="AC30" si="55">SUM(AC24:AC29)</f>
        <v>18073.125</v>
      </c>
      <c r="AD30" s="88">
        <f t="shared" ref="AD30" si="56">SUM(AD24:AD29)</f>
        <v>0</v>
      </c>
      <c r="AE30" s="88">
        <f t="shared" ref="AE30" si="57">SUM(AE24:AE29)</f>
        <v>0</v>
      </c>
      <c r="AF30" s="88">
        <f t="shared" ref="AF30" si="58">SUM(AF24:AF29)</f>
        <v>36146.25</v>
      </c>
      <c r="AG30" s="103" t="str">
        <f t="shared" si="13"/>
        <v/>
      </c>
      <c r="AI30" s="88">
        <f>SUM(AI24:AI29)</f>
        <v>81980.324999999997</v>
      </c>
      <c r="AJ30" s="88">
        <f t="shared" ref="AJ30:AV30" si="59">SUM(AJ24:AJ29)</f>
        <v>0</v>
      </c>
      <c r="AK30" s="88">
        <f t="shared" si="59"/>
        <v>0</v>
      </c>
      <c r="AL30" s="88">
        <f t="shared" si="59"/>
        <v>0</v>
      </c>
      <c r="AM30" s="88">
        <f t="shared" si="59"/>
        <v>0</v>
      </c>
      <c r="AN30" s="88">
        <f t="shared" si="59"/>
        <v>0</v>
      </c>
      <c r="AO30" s="88">
        <f t="shared" si="59"/>
        <v>5435.3250000000007</v>
      </c>
      <c r="AP30" s="88">
        <f t="shared" si="59"/>
        <v>19136.25</v>
      </c>
      <c r="AQ30" s="88">
        <f t="shared" si="59"/>
        <v>0</v>
      </c>
      <c r="AR30" s="88">
        <f t="shared" si="59"/>
        <v>0</v>
      </c>
      <c r="AS30" s="88">
        <f t="shared" si="59"/>
        <v>19136.25</v>
      </c>
      <c r="AT30" s="88">
        <f t="shared" si="59"/>
        <v>0</v>
      </c>
      <c r="AU30" s="88">
        <f t="shared" si="59"/>
        <v>0</v>
      </c>
      <c r="AV30" s="88">
        <f t="shared" si="59"/>
        <v>38272.5</v>
      </c>
      <c r="AW30" s="83" t="str">
        <f t="shared" si="14"/>
        <v/>
      </c>
    </row>
    <row r="31" spans="1:49">
      <c r="A31" s="23" t="s">
        <v>39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103" t="str">
        <f t="shared" si="12"/>
        <v/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103" t="str">
        <f t="shared" si="13"/>
        <v/>
      </c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3" t="str">
        <f t="shared" si="14"/>
        <v/>
      </c>
    </row>
    <row r="32" spans="1:49">
      <c r="A32" s="23"/>
      <c r="B32" s="24" t="s">
        <v>9</v>
      </c>
      <c r="C32" s="89">
        <f>'Budget Summary'!C28</f>
        <v>0</v>
      </c>
      <c r="D32" s="89">
        <f>$C32*'Y1 Cash Flow Assumptions'!D32</f>
        <v>0</v>
      </c>
      <c r="E32" s="89">
        <f>$C32*'Y1 Cash Flow Assumptions'!E32</f>
        <v>0</v>
      </c>
      <c r="F32" s="89">
        <f>$C32*'Y1 Cash Flow Assumptions'!F32</f>
        <v>0</v>
      </c>
      <c r="G32" s="89">
        <f>$C32*'Y1 Cash Flow Assumptions'!G32</f>
        <v>0</v>
      </c>
      <c r="H32" s="89">
        <f>$C32*'Y1 Cash Flow Assumptions'!H32</f>
        <v>0</v>
      </c>
      <c r="I32" s="89">
        <f>$C32*'Y1 Cash Flow Assumptions'!I32</f>
        <v>0</v>
      </c>
      <c r="J32" s="89">
        <f>$C32*'Y1 Cash Flow Assumptions'!J32</f>
        <v>0</v>
      </c>
      <c r="K32" s="89">
        <f>$C32*'Y1 Cash Flow Assumptions'!K32</f>
        <v>0</v>
      </c>
      <c r="L32" s="89">
        <f>$C32*'Y1 Cash Flow Assumptions'!L32</f>
        <v>0</v>
      </c>
      <c r="M32" s="89">
        <f>$C32*'Y1 Cash Flow Assumptions'!M32</f>
        <v>0</v>
      </c>
      <c r="N32" s="89">
        <f>$C32*'Y1 Cash Flow Assumptions'!N32</f>
        <v>0</v>
      </c>
      <c r="O32" s="89">
        <f>$C32*'Y1 Cash Flow Assumptions'!O32</f>
        <v>0</v>
      </c>
      <c r="P32" s="89">
        <f>$C32*'Y1 Cash Flow Assumptions'!P32</f>
        <v>0</v>
      </c>
      <c r="Q32" s="103" t="str">
        <f t="shared" si="12"/>
        <v/>
      </c>
      <c r="S32" s="89">
        <f>'Budget Summary'!D28</f>
        <v>0</v>
      </c>
      <c r="T32" s="89">
        <f>$S32*'Y2_3 Cash Flow Assumptions'!D32</f>
        <v>0</v>
      </c>
      <c r="U32" s="89">
        <f>$S32*'Y2_3 Cash Flow Assumptions'!E32</f>
        <v>0</v>
      </c>
      <c r="V32" s="89">
        <f>$S32*'Y2_3 Cash Flow Assumptions'!F32</f>
        <v>0</v>
      </c>
      <c r="W32" s="89">
        <f>$S32*'Y2_3 Cash Flow Assumptions'!G32</f>
        <v>0</v>
      </c>
      <c r="X32" s="89">
        <f>$S32*'Y2_3 Cash Flow Assumptions'!H32</f>
        <v>0</v>
      </c>
      <c r="Y32" s="89">
        <f>$S32*'Y2_3 Cash Flow Assumptions'!I32</f>
        <v>0</v>
      </c>
      <c r="Z32" s="89">
        <f>$S32*'Y2_3 Cash Flow Assumptions'!J32</f>
        <v>0</v>
      </c>
      <c r="AA32" s="89">
        <f>$S32*'Y2_3 Cash Flow Assumptions'!K32</f>
        <v>0</v>
      </c>
      <c r="AB32" s="89">
        <f>$S32*'Y2_3 Cash Flow Assumptions'!L32</f>
        <v>0</v>
      </c>
      <c r="AC32" s="89">
        <f>$S32*'Y2_3 Cash Flow Assumptions'!M32</f>
        <v>0</v>
      </c>
      <c r="AD32" s="89">
        <f>$S32*'Y2_3 Cash Flow Assumptions'!N32</f>
        <v>0</v>
      </c>
      <c r="AE32" s="89">
        <f>$S32*'Y2_3 Cash Flow Assumptions'!O32</f>
        <v>0</v>
      </c>
      <c r="AF32" s="89">
        <f>$S32*'Y2_3 Cash Flow Assumptions'!P32</f>
        <v>0</v>
      </c>
      <c r="AG32" s="103" t="str">
        <f t="shared" si="13"/>
        <v/>
      </c>
      <c r="AI32" s="89">
        <f>'Budget Summary'!E28</f>
        <v>0</v>
      </c>
      <c r="AJ32" s="89">
        <f>$AI32*'Y2_3 Cash Flow Assumptions'!D32</f>
        <v>0</v>
      </c>
      <c r="AK32" s="89">
        <f>$AI32*'Y2_3 Cash Flow Assumptions'!E32</f>
        <v>0</v>
      </c>
      <c r="AL32" s="89">
        <f>$AI32*'Y2_3 Cash Flow Assumptions'!F32</f>
        <v>0</v>
      </c>
      <c r="AM32" s="89">
        <f>$AI32*'Y2_3 Cash Flow Assumptions'!G32</f>
        <v>0</v>
      </c>
      <c r="AN32" s="89">
        <f>$AI32*'Y2_3 Cash Flow Assumptions'!H32</f>
        <v>0</v>
      </c>
      <c r="AO32" s="89">
        <f>$AI32*'Y2_3 Cash Flow Assumptions'!I32</f>
        <v>0</v>
      </c>
      <c r="AP32" s="89">
        <f>$AI32*'Y2_3 Cash Flow Assumptions'!J32</f>
        <v>0</v>
      </c>
      <c r="AQ32" s="89">
        <f>$AI32*'Y2_3 Cash Flow Assumptions'!K32</f>
        <v>0</v>
      </c>
      <c r="AR32" s="89">
        <f>$AI32*'Y2_3 Cash Flow Assumptions'!L32</f>
        <v>0</v>
      </c>
      <c r="AS32" s="89">
        <f>$AI32*'Y2_3 Cash Flow Assumptions'!M32</f>
        <v>0</v>
      </c>
      <c r="AT32" s="89">
        <f>$AI32*'Y2_3 Cash Flow Assumptions'!N32</f>
        <v>0</v>
      </c>
      <c r="AU32" s="89">
        <f>$AI32*'Y2_3 Cash Flow Assumptions'!O32</f>
        <v>0</v>
      </c>
      <c r="AV32" s="89">
        <f>$AI32*'Y2_3 Cash Flow Assumptions'!P32</f>
        <v>0</v>
      </c>
      <c r="AW32" s="83" t="str">
        <f t="shared" si="14"/>
        <v/>
      </c>
    </row>
    <row r="33" spans="1:49">
      <c r="A33" s="23"/>
      <c r="B33" s="24" t="s">
        <v>11</v>
      </c>
      <c r="C33" s="89">
        <f>'Budget Summary'!C29</f>
        <v>0</v>
      </c>
      <c r="D33" s="89">
        <f>$C33*'Y1 Cash Flow Assumptions'!D33</f>
        <v>0</v>
      </c>
      <c r="E33" s="89">
        <f>$C33*'Y1 Cash Flow Assumptions'!E33</f>
        <v>0</v>
      </c>
      <c r="F33" s="89">
        <f>$C33*'Y1 Cash Flow Assumptions'!F33</f>
        <v>0</v>
      </c>
      <c r="G33" s="89">
        <f>$C33*'Y1 Cash Flow Assumptions'!G33</f>
        <v>0</v>
      </c>
      <c r="H33" s="89">
        <f>$C33*'Y1 Cash Flow Assumptions'!H33</f>
        <v>0</v>
      </c>
      <c r="I33" s="89">
        <f>$C33*'Y1 Cash Flow Assumptions'!I33</f>
        <v>0</v>
      </c>
      <c r="J33" s="89">
        <f>$C33*'Y1 Cash Flow Assumptions'!J33</f>
        <v>0</v>
      </c>
      <c r="K33" s="89">
        <f>$C33*'Y1 Cash Flow Assumptions'!K33</f>
        <v>0</v>
      </c>
      <c r="L33" s="89">
        <f>$C33*'Y1 Cash Flow Assumptions'!L33</f>
        <v>0</v>
      </c>
      <c r="M33" s="89">
        <f>$C33*'Y1 Cash Flow Assumptions'!M33</f>
        <v>0</v>
      </c>
      <c r="N33" s="89">
        <f>$C33*'Y1 Cash Flow Assumptions'!N33</f>
        <v>0</v>
      </c>
      <c r="O33" s="89">
        <f>$C33*'Y1 Cash Flow Assumptions'!O33</f>
        <v>0</v>
      </c>
      <c r="P33" s="89">
        <f>$C33*'Y1 Cash Flow Assumptions'!P33</f>
        <v>0</v>
      </c>
      <c r="Q33" s="103" t="str">
        <f t="shared" si="12"/>
        <v/>
      </c>
      <c r="S33" s="89">
        <f>'Budget Summary'!D29</f>
        <v>0</v>
      </c>
      <c r="T33" s="89">
        <f>$S33*'Y2_3 Cash Flow Assumptions'!D33</f>
        <v>0</v>
      </c>
      <c r="U33" s="89">
        <f>$S33*'Y2_3 Cash Flow Assumptions'!E33</f>
        <v>0</v>
      </c>
      <c r="V33" s="89">
        <f>$S33*'Y2_3 Cash Flow Assumptions'!F33</f>
        <v>0</v>
      </c>
      <c r="W33" s="89">
        <f>$S33*'Y2_3 Cash Flow Assumptions'!G33</f>
        <v>0</v>
      </c>
      <c r="X33" s="89">
        <f>$S33*'Y2_3 Cash Flow Assumptions'!H33</f>
        <v>0</v>
      </c>
      <c r="Y33" s="89">
        <f>$S33*'Y2_3 Cash Flow Assumptions'!I33</f>
        <v>0</v>
      </c>
      <c r="Z33" s="89">
        <f>$S33*'Y2_3 Cash Flow Assumptions'!J33</f>
        <v>0</v>
      </c>
      <c r="AA33" s="89">
        <f>$S33*'Y2_3 Cash Flow Assumptions'!K33</f>
        <v>0</v>
      </c>
      <c r="AB33" s="89">
        <f>$S33*'Y2_3 Cash Flow Assumptions'!L33</f>
        <v>0</v>
      </c>
      <c r="AC33" s="89">
        <f>$S33*'Y2_3 Cash Flow Assumptions'!M33</f>
        <v>0</v>
      </c>
      <c r="AD33" s="89">
        <f>$S33*'Y2_3 Cash Flow Assumptions'!N33</f>
        <v>0</v>
      </c>
      <c r="AE33" s="89">
        <f>$S33*'Y2_3 Cash Flow Assumptions'!O33</f>
        <v>0</v>
      </c>
      <c r="AF33" s="89">
        <f>$S33*'Y2_3 Cash Flow Assumptions'!P33</f>
        <v>0</v>
      </c>
      <c r="AG33" s="103" t="str">
        <f t="shared" si="13"/>
        <v/>
      </c>
      <c r="AI33" s="89">
        <f>'Budget Summary'!E29</f>
        <v>0</v>
      </c>
      <c r="AJ33" s="89">
        <f>$AI33*'Y2_3 Cash Flow Assumptions'!D33</f>
        <v>0</v>
      </c>
      <c r="AK33" s="89">
        <f>$AI33*'Y2_3 Cash Flow Assumptions'!E33</f>
        <v>0</v>
      </c>
      <c r="AL33" s="89">
        <f>$AI33*'Y2_3 Cash Flow Assumptions'!F33</f>
        <v>0</v>
      </c>
      <c r="AM33" s="89">
        <f>$AI33*'Y2_3 Cash Flow Assumptions'!G33</f>
        <v>0</v>
      </c>
      <c r="AN33" s="89">
        <f>$AI33*'Y2_3 Cash Flow Assumptions'!H33</f>
        <v>0</v>
      </c>
      <c r="AO33" s="89">
        <f>$AI33*'Y2_3 Cash Flow Assumptions'!I33</f>
        <v>0</v>
      </c>
      <c r="AP33" s="89">
        <f>$AI33*'Y2_3 Cash Flow Assumptions'!J33</f>
        <v>0</v>
      </c>
      <c r="AQ33" s="89">
        <f>$AI33*'Y2_3 Cash Flow Assumptions'!K33</f>
        <v>0</v>
      </c>
      <c r="AR33" s="89">
        <f>$AI33*'Y2_3 Cash Flow Assumptions'!L33</f>
        <v>0</v>
      </c>
      <c r="AS33" s="89">
        <f>$AI33*'Y2_3 Cash Flow Assumptions'!M33</f>
        <v>0</v>
      </c>
      <c r="AT33" s="89">
        <f>$AI33*'Y2_3 Cash Flow Assumptions'!N33</f>
        <v>0</v>
      </c>
      <c r="AU33" s="89">
        <f>$AI33*'Y2_3 Cash Flow Assumptions'!O33</f>
        <v>0</v>
      </c>
      <c r="AV33" s="89">
        <f>$AI33*'Y2_3 Cash Flow Assumptions'!P33</f>
        <v>0</v>
      </c>
      <c r="AW33" s="83" t="str">
        <f t="shared" si="14"/>
        <v/>
      </c>
    </row>
    <row r="34" spans="1:49">
      <c r="A34" s="23"/>
      <c r="B34" s="24" t="s">
        <v>12</v>
      </c>
      <c r="C34" s="89">
        <f>'Budget Summary'!C30</f>
        <v>20000</v>
      </c>
      <c r="D34" s="89">
        <f>$C34*'Y1 Cash Flow Assumptions'!D34</f>
        <v>0</v>
      </c>
      <c r="E34" s="89">
        <f>$C34*'Y1 Cash Flow Assumptions'!E34</f>
        <v>0</v>
      </c>
      <c r="F34" s="89">
        <f>$C34*'Y1 Cash Flow Assumptions'!F34</f>
        <v>0</v>
      </c>
      <c r="G34" s="89">
        <f>$C34*'Y1 Cash Flow Assumptions'!G34</f>
        <v>0</v>
      </c>
      <c r="H34" s="89">
        <f>$C34*'Y1 Cash Flow Assumptions'!H34</f>
        <v>0</v>
      </c>
      <c r="I34" s="89">
        <f>$C34*'Y1 Cash Flow Assumptions'!I34</f>
        <v>0</v>
      </c>
      <c r="J34" s="89">
        <f>$C34*'Y1 Cash Flow Assumptions'!J34</f>
        <v>0</v>
      </c>
      <c r="K34" s="89">
        <f>$C34*'Y1 Cash Flow Assumptions'!K34</f>
        <v>3333.333333333333</v>
      </c>
      <c r="L34" s="89">
        <f>$C34*'Y1 Cash Flow Assumptions'!L34</f>
        <v>3333.333333333333</v>
      </c>
      <c r="M34" s="89">
        <f>$C34*'Y1 Cash Flow Assumptions'!M34</f>
        <v>3333.333333333333</v>
      </c>
      <c r="N34" s="89">
        <f>$C34*'Y1 Cash Flow Assumptions'!N34</f>
        <v>3333.333333333333</v>
      </c>
      <c r="O34" s="89">
        <f>$C34*'Y1 Cash Flow Assumptions'!O34</f>
        <v>3333.333333333333</v>
      </c>
      <c r="P34" s="89">
        <f>$C34*'Y1 Cash Flow Assumptions'!P34</f>
        <v>3333.333333333333</v>
      </c>
      <c r="Q34" s="103" t="str">
        <f t="shared" si="12"/>
        <v/>
      </c>
      <c r="S34" s="89">
        <f>'Budget Summary'!D30</f>
        <v>20000</v>
      </c>
      <c r="T34" s="89">
        <f>$S34*'Y2_3 Cash Flow Assumptions'!D34</f>
        <v>0</v>
      </c>
      <c r="U34" s="89">
        <f>$S34*'Y2_3 Cash Flow Assumptions'!E34</f>
        <v>0</v>
      </c>
      <c r="V34" s="89">
        <f>$S34*'Y2_3 Cash Flow Assumptions'!F34</f>
        <v>0</v>
      </c>
      <c r="W34" s="89">
        <f>$S34*'Y2_3 Cash Flow Assumptions'!G34</f>
        <v>0</v>
      </c>
      <c r="X34" s="89">
        <f>$S34*'Y2_3 Cash Flow Assumptions'!H34</f>
        <v>0</v>
      </c>
      <c r="Y34" s="89">
        <f>$S34*'Y2_3 Cash Flow Assumptions'!I34</f>
        <v>0</v>
      </c>
      <c r="Z34" s="89">
        <f>$S34*'Y2_3 Cash Flow Assumptions'!J34</f>
        <v>0</v>
      </c>
      <c r="AA34" s="89">
        <f>$S34*'Y2_3 Cash Flow Assumptions'!K34</f>
        <v>3333.333333333333</v>
      </c>
      <c r="AB34" s="89">
        <f>$S34*'Y2_3 Cash Flow Assumptions'!L34</f>
        <v>3333.333333333333</v>
      </c>
      <c r="AC34" s="89">
        <f>$S34*'Y2_3 Cash Flow Assumptions'!M34</f>
        <v>3333.333333333333</v>
      </c>
      <c r="AD34" s="89">
        <f>$S34*'Y2_3 Cash Flow Assumptions'!N34</f>
        <v>3333.333333333333</v>
      </c>
      <c r="AE34" s="89">
        <f>$S34*'Y2_3 Cash Flow Assumptions'!O34</f>
        <v>3333.333333333333</v>
      </c>
      <c r="AF34" s="89">
        <f>$S34*'Y2_3 Cash Flow Assumptions'!P34</f>
        <v>3333.333333333333</v>
      </c>
      <c r="AG34" s="103" t="str">
        <f t="shared" si="13"/>
        <v/>
      </c>
      <c r="AI34" s="89">
        <f>'Budget Summary'!E30</f>
        <v>20000</v>
      </c>
      <c r="AJ34" s="89">
        <f>$AI34*'Y2_3 Cash Flow Assumptions'!D34</f>
        <v>0</v>
      </c>
      <c r="AK34" s="89">
        <f>$AI34*'Y2_3 Cash Flow Assumptions'!E34</f>
        <v>0</v>
      </c>
      <c r="AL34" s="89">
        <f>$AI34*'Y2_3 Cash Flow Assumptions'!F34</f>
        <v>0</v>
      </c>
      <c r="AM34" s="89">
        <f>$AI34*'Y2_3 Cash Flow Assumptions'!G34</f>
        <v>0</v>
      </c>
      <c r="AN34" s="89">
        <f>$AI34*'Y2_3 Cash Flow Assumptions'!H34</f>
        <v>0</v>
      </c>
      <c r="AO34" s="89">
        <f>$AI34*'Y2_3 Cash Flow Assumptions'!I34</f>
        <v>0</v>
      </c>
      <c r="AP34" s="89">
        <f>$AI34*'Y2_3 Cash Flow Assumptions'!J34</f>
        <v>0</v>
      </c>
      <c r="AQ34" s="89">
        <f>$AI34*'Y2_3 Cash Flow Assumptions'!K34</f>
        <v>3333.333333333333</v>
      </c>
      <c r="AR34" s="89">
        <f>$AI34*'Y2_3 Cash Flow Assumptions'!L34</f>
        <v>3333.333333333333</v>
      </c>
      <c r="AS34" s="89">
        <f>$AI34*'Y2_3 Cash Flow Assumptions'!M34</f>
        <v>3333.333333333333</v>
      </c>
      <c r="AT34" s="89">
        <f>$AI34*'Y2_3 Cash Flow Assumptions'!N34</f>
        <v>3333.333333333333</v>
      </c>
      <c r="AU34" s="89">
        <f>$AI34*'Y2_3 Cash Flow Assumptions'!O34</f>
        <v>3333.333333333333</v>
      </c>
      <c r="AV34" s="89">
        <f>$AI34*'Y2_3 Cash Flow Assumptions'!P34</f>
        <v>3333.333333333333</v>
      </c>
      <c r="AW34" s="83" t="str">
        <f t="shared" si="14"/>
        <v/>
      </c>
    </row>
    <row r="35" spans="1:49">
      <c r="A35" s="23"/>
      <c r="B35" s="24" t="s">
        <v>10</v>
      </c>
      <c r="C35" s="89">
        <f>'Budget Summary'!C31</f>
        <v>5000</v>
      </c>
      <c r="D35" s="89">
        <f>$C35*'Y1 Cash Flow Assumptions'!D35</f>
        <v>0</v>
      </c>
      <c r="E35" s="89">
        <f>$C35*'Y1 Cash Flow Assumptions'!E35</f>
        <v>0</v>
      </c>
      <c r="F35" s="89">
        <f>$C35*'Y1 Cash Flow Assumptions'!F35</f>
        <v>0</v>
      </c>
      <c r="G35" s="89">
        <f>$C35*'Y1 Cash Flow Assumptions'!G35</f>
        <v>0</v>
      </c>
      <c r="H35" s="89">
        <f>$C35*'Y1 Cash Flow Assumptions'!H35</f>
        <v>0</v>
      </c>
      <c r="I35" s="89">
        <f>$C35*'Y1 Cash Flow Assumptions'!I35</f>
        <v>0</v>
      </c>
      <c r="J35" s="89">
        <f>$C35*'Y1 Cash Flow Assumptions'!J35</f>
        <v>0</v>
      </c>
      <c r="K35" s="89">
        <f>$C35*'Y1 Cash Flow Assumptions'!K35</f>
        <v>833.33333333333326</v>
      </c>
      <c r="L35" s="89">
        <f>$C35*'Y1 Cash Flow Assumptions'!L35</f>
        <v>833.33333333333326</v>
      </c>
      <c r="M35" s="89">
        <f>$C35*'Y1 Cash Flow Assumptions'!M35</f>
        <v>833.33333333333326</v>
      </c>
      <c r="N35" s="89">
        <f>$C35*'Y1 Cash Flow Assumptions'!N35</f>
        <v>833.33333333333326</v>
      </c>
      <c r="O35" s="89">
        <f>$C35*'Y1 Cash Flow Assumptions'!O35</f>
        <v>833.33333333333326</v>
      </c>
      <c r="P35" s="89">
        <f>$C35*'Y1 Cash Flow Assumptions'!P35</f>
        <v>833.33333333333326</v>
      </c>
      <c r="Q35" s="103" t="str">
        <f t="shared" si="12"/>
        <v/>
      </c>
      <c r="S35" s="89">
        <f>'Budget Summary'!D31</f>
        <v>5000</v>
      </c>
      <c r="T35" s="89">
        <f>$S35*'Y2_3 Cash Flow Assumptions'!D35</f>
        <v>0</v>
      </c>
      <c r="U35" s="89">
        <f>$S35*'Y2_3 Cash Flow Assumptions'!E35</f>
        <v>0</v>
      </c>
      <c r="V35" s="89">
        <f>$S35*'Y2_3 Cash Flow Assumptions'!F35</f>
        <v>0</v>
      </c>
      <c r="W35" s="89">
        <f>$S35*'Y2_3 Cash Flow Assumptions'!G35</f>
        <v>0</v>
      </c>
      <c r="X35" s="89">
        <f>$S35*'Y2_3 Cash Flow Assumptions'!H35</f>
        <v>0</v>
      </c>
      <c r="Y35" s="89">
        <f>$S35*'Y2_3 Cash Flow Assumptions'!I35</f>
        <v>0</v>
      </c>
      <c r="Z35" s="89">
        <f>$S35*'Y2_3 Cash Flow Assumptions'!J35</f>
        <v>0</v>
      </c>
      <c r="AA35" s="89">
        <f>$S35*'Y2_3 Cash Flow Assumptions'!K35</f>
        <v>833.33333333333326</v>
      </c>
      <c r="AB35" s="89">
        <f>$S35*'Y2_3 Cash Flow Assumptions'!L35</f>
        <v>833.33333333333326</v>
      </c>
      <c r="AC35" s="89">
        <f>$S35*'Y2_3 Cash Flow Assumptions'!M35</f>
        <v>833.33333333333326</v>
      </c>
      <c r="AD35" s="89">
        <f>$S35*'Y2_3 Cash Flow Assumptions'!N35</f>
        <v>833.33333333333326</v>
      </c>
      <c r="AE35" s="89">
        <f>$S35*'Y2_3 Cash Flow Assumptions'!O35</f>
        <v>833.33333333333326</v>
      </c>
      <c r="AF35" s="89">
        <f>$S35*'Y2_3 Cash Flow Assumptions'!P35</f>
        <v>833.33333333333326</v>
      </c>
      <c r="AG35" s="103" t="str">
        <f t="shared" si="13"/>
        <v/>
      </c>
      <c r="AI35" s="89">
        <f>'Budget Summary'!E31</f>
        <v>5000</v>
      </c>
      <c r="AJ35" s="89">
        <f>$AI35*'Y2_3 Cash Flow Assumptions'!D35</f>
        <v>0</v>
      </c>
      <c r="AK35" s="89">
        <f>$AI35*'Y2_3 Cash Flow Assumptions'!E35</f>
        <v>0</v>
      </c>
      <c r="AL35" s="89">
        <f>$AI35*'Y2_3 Cash Flow Assumptions'!F35</f>
        <v>0</v>
      </c>
      <c r="AM35" s="89">
        <f>$AI35*'Y2_3 Cash Flow Assumptions'!G35</f>
        <v>0</v>
      </c>
      <c r="AN35" s="89">
        <f>$AI35*'Y2_3 Cash Flow Assumptions'!H35</f>
        <v>0</v>
      </c>
      <c r="AO35" s="89">
        <f>$AI35*'Y2_3 Cash Flow Assumptions'!I35</f>
        <v>0</v>
      </c>
      <c r="AP35" s="89">
        <f>$AI35*'Y2_3 Cash Flow Assumptions'!J35</f>
        <v>0</v>
      </c>
      <c r="AQ35" s="89">
        <f>$AI35*'Y2_3 Cash Flow Assumptions'!K35</f>
        <v>833.33333333333326</v>
      </c>
      <c r="AR35" s="89">
        <f>$AI35*'Y2_3 Cash Flow Assumptions'!L35</f>
        <v>833.33333333333326</v>
      </c>
      <c r="AS35" s="89">
        <f>$AI35*'Y2_3 Cash Flow Assumptions'!M35</f>
        <v>833.33333333333326</v>
      </c>
      <c r="AT35" s="89">
        <f>$AI35*'Y2_3 Cash Flow Assumptions'!N35</f>
        <v>833.33333333333326</v>
      </c>
      <c r="AU35" s="89">
        <f>$AI35*'Y2_3 Cash Flow Assumptions'!O35</f>
        <v>833.33333333333326</v>
      </c>
      <c r="AV35" s="89">
        <f>$AI35*'Y2_3 Cash Flow Assumptions'!P35</f>
        <v>833.33333333333326</v>
      </c>
      <c r="AW35" s="83" t="str">
        <f t="shared" si="14"/>
        <v/>
      </c>
    </row>
    <row r="36" spans="1:49" s="23" customFormat="1">
      <c r="A36" s="23" t="s">
        <v>39</v>
      </c>
      <c r="C36" s="88">
        <f>SUM(C32:C35)</f>
        <v>25000</v>
      </c>
      <c r="D36" s="88">
        <f t="shared" ref="D36:P36" si="60">SUM(D32:D35)</f>
        <v>0</v>
      </c>
      <c r="E36" s="88">
        <f t="shared" si="60"/>
        <v>0</v>
      </c>
      <c r="F36" s="88">
        <f t="shared" si="60"/>
        <v>0</v>
      </c>
      <c r="G36" s="88">
        <f t="shared" si="60"/>
        <v>0</v>
      </c>
      <c r="H36" s="88">
        <f t="shared" si="60"/>
        <v>0</v>
      </c>
      <c r="I36" s="88">
        <f t="shared" si="60"/>
        <v>0</v>
      </c>
      <c r="J36" s="88">
        <f t="shared" si="60"/>
        <v>0</v>
      </c>
      <c r="K36" s="88">
        <f t="shared" si="60"/>
        <v>4166.6666666666661</v>
      </c>
      <c r="L36" s="88">
        <f t="shared" si="60"/>
        <v>4166.6666666666661</v>
      </c>
      <c r="M36" s="88">
        <f t="shared" si="60"/>
        <v>4166.6666666666661</v>
      </c>
      <c r="N36" s="88">
        <f t="shared" si="60"/>
        <v>4166.6666666666661</v>
      </c>
      <c r="O36" s="88">
        <f t="shared" si="60"/>
        <v>4166.6666666666661</v>
      </c>
      <c r="P36" s="88">
        <f t="shared" si="60"/>
        <v>4166.6666666666661</v>
      </c>
      <c r="Q36" s="103" t="str">
        <f t="shared" si="12"/>
        <v/>
      </c>
      <c r="S36" s="88">
        <f>SUM(S32:S35)</f>
        <v>25000</v>
      </c>
      <c r="T36" s="88">
        <f t="shared" ref="T36" si="61">SUM(T32:T35)</f>
        <v>0</v>
      </c>
      <c r="U36" s="88">
        <f t="shared" ref="U36" si="62">SUM(U32:U35)</f>
        <v>0</v>
      </c>
      <c r="V36" s="88">
        <f t="shared" ref="V36" si="63">SUM(V32:V35)</f>
        <v>0</v>
      </c>
      <c r="W36" s="88">
        <f t="shared" ref="W36" si="64">SUM(W32:W35)</f>
        <v>0</v>
      </c>
      <c r="X36" s="88">
        <f t="shared" ref="X36" si="65">SUM(X32:X35)</f>
        <v>0</v>
      </c>
      <c r="Y36" s="88">
        <f t="shared" ref="Y36" si="66">SUM(Y32:Y35)</f>
        <v>0</v>
      </c>
      <c r="Z36" s="88">
        <f t="shared" ref="Z36" si="67">SUM(Z32:Z35)</f>
        <v>0</v>
      </c>
      <c r="AA36" s="88">
        <f t="shared" ref="AA36" si="68">SUM(AA32:AA35)</f>
        <v>4166.6666666666661</v>
      </c>
      <c r="AB36" s="88">
        <f t="shared" ref="AB36" si="69">SUM(AB32:AB35)</f>
        <v>4166.6666666666661</v>
      </c>
      <c r="AC36" s="88">
        <f t="shared" ref="AC36" si="70">SUM(AC32:AC35)</f>
        <v>4166.6666666666661</v>
      </c>
      <c r="AD36" s="88">
        <f t="shared" ref="AD36" si="71">SUM(AD32:AD35)</f>
        <v>4166.6666666666661</v>
      </c>
      <c r="AE36" s="88">
        <f t="shared" ref="AE36" si="72">SUM(AE32:AE35)</f>
        <v>4166.6666666666661</v>
      </c>
      <c r="AF36" s="88">
        <f t="shared" ref="AF36" si="73">SUM(AF32:AF35)</f>
        <v>4166.6666666666661</v>
      </c>
      <c r="AG36" s="103" t="str">
        <f t="shared" si="13"/>
        <v/>
      </c>
      <c r="AI36" s="88">
        <f>SUM(AI32:AI35)</f>
        <v>25000</v>
      </c>
      <c r="AJ36" s="88">
        <f t="shared" ref="AJ36:AV36" si="74">SUM(AJ32:AJ35)</f>
        <v>0</v>
      </c>
      <c r="AK36" s="88">
        <f t="shared" si="74"/>
        <v>0</v>
      </c>
      <c r="AL36" s="88">
        <f t="shared" si="74"/>
        <v>0</v>
      </c>
      <c r="AM36" s="88">
        <f t="shared" si="74"/>
        <v>0</v>
      </c>
      <c r="AN36" s="88">
        <f t="shared" si="74"/>
        <v>0</v>
      </c>
      <c r="AO36" s="88">
        <f t="shared" si="74"/>
        <v>0</v>
      </c>
      <c r="AP36" s="88">
        <f t="shared" si="74"/>
        <v>0</v>
      </c>
      <c r="AQ36" s="88">
        <f t="shared" si="74"/>
        <v>4166.6666666666661</v>
      </c>
      <c r="AR36" s="88">
        <f t="shared" si="74"/>
        <v>4166.6666666666661</v>
      </c>
      <c r="AS36" s="88">
        <f t="shared" si="74"/>
        <v>4166.6666666666661</v>
      </c>
      <c r="AT36" s="88">
        <f t="shared" si="74"/>
        <v>4166.6666666666661</v>
      </c>
      <c r="AU36" s="88">
        <f t="shared" si="74"/>
        <v>4166.6666666666661</v>
      </c>
      <c r="AV36" s="88">
        <f t="shared" si="74"/>
        <v>4166.6666666666661</v>
      </c>
      <c r="AW36" s="83" t="str">
        <f t="shared" si="14"/>
        <v/>
      </c>
    </row>
    <row r="37" spans="1:49" s="23" customFormat="1">
      <c r="A37" s="23" t="s">
        <v>0</v>
      </c>
      <c r="C37" s="106">
        <f>SUM(C13,C22,C30,C36)</f>
        <v>3189726.2415999998</v>
      </c>
      <c r="D37" s="106">
        <f t="shared" ref="D37:P37" si="75">SUM(D13,D22,D30,D36)</f>
        <v>0</v>
      </c>
      <c r="E37" s="106">
        <f t="shared" si="75"/>
        <v>0</v>
      </c>
      <c r="F37" s="106">
        <f t="shared" si="75"/>
        <v>0</v>
      </c>
      <c r="G37" s="119">
        <f t="shared" si="75"/>
        <v>1025479.0293919999</v>
      </c>
      <c r="H37" s="106">
        <f t="shared" si="75"/>
        <v>52892.064000000006</v>
      </c>
      <c r="I37" s="106">
        <f t="shared" si="75"/>
        <v>52892.064000000006</v>
      </c>
      <c r="J37" s="106">
        <f t="shared" si="75"/>
        <v>477390.3554880002</v>
      </c>
      <c r="K37" s="106">
        <f t="shared" si="75"/>
        <v>57058.73066666667</v>
      </c>
      <c r="L37" s="106">
        <f t="shared" si="75"/>
        <v>299976.92441066663</v>
      </c>
      <c r="M37" s="106">
        <f t="shared" si="75"/>
        <v>271696.36841066665</v>
      </c>
      <c r="N37" s="106">
        <f t="shared" si="75"/>
        <v>253696.36841066662</v>
      </c>
      <c r="O37" s="106">
        <f t="shared" si="75"/>
        <v>253696.36841066662</v>
      </c>
      <c r="P37" s="106">
        <f t="shared" si="75"/>
        <v>444947.96841066662</v>
      </c>
      <c r="Q37" s="103" t="str">
        <f t="shared" si="12"/>
        <v/>
      </c>
      <c r="S37" s="88">
        <f>SUM(S13,S22,S30,S36)</f>
        <v>3439499.2482000003</v>
      </c>
      <c r="T37" s="88">
        <f t="shared" ref="T37" si="76">SUM(T13,T22,T30,T36)</f>
        <v>0</v>
      </c>
      <c r="U37" s="88">
        <f t="shared" ref="U37" si="77">SUM(U13,U22,U30,U36)</f>
        <v>152585.24008000002</v>
      </c>
      <c r="V37" s="88">
        <f t="shared" ref="V37" si="78">SUM(V13,V22,V30,V36)</f>
        <v>192254.28808000003</v>
      </c>
      <c r="W37" s="88">
        <f t="shared" ref="W37" si="79">SUM(W13,W22,W30,W36)</f>
        <v>274141.20974399999</v>
      </c>
      <c r="X37" s="88">
        <f t="shared" ref="X37" si="80">SUM(X13,X22,X30,X36)</f>
        <v>278498.67474400002</v>
      </c>
      <c r="Y37" s="88">
        <f t="shared" ref="Y37" si="81">SUM(Y13,Y22,Y30,Y36)</f>
        <v>261541.20974399999</v>
      </c>
      <c r="Z37" s="88">
        <f t="shared" ref="Z37" si="82">SUM(Z13,Z22,Z30,Z36)</f>
        <v>314571.79974400002</v>
      </c>
      <c r="AA37" s="88">
        <f t="shared" ref="AA37" si="83">SUM(AA13,AA22,AA30,AA36)</f>
        <v>260307.87641066665</v>
      </c>
      <c r="AB37" s="88">
        <f t="shared" ref="AB37" si="84">SUM(AB13,AB22,AB30,AB36)</f>
        <v>373652.93573066674</v>
      </c>
      <c r="AC37" s="88">
        <f t="shared" ref="AC37" si="85">SUM(AC13,AC22,AC30,AC36)</f>
        <v>337576.05223066668</v>
      </c>
      <c r="AD37" s="88">
        <f t="shared" ref="AD37" si="86">SUM(AD13,AD22,AD30,AD36)</f>
        <v>298127.92723066668</v>
      </c>
      <c r="AE37" s="88">
        <f t="shared" ref="AE37" si="87">SUM(AE13,AE22,AE30,AE36)</f>
        <v>320485.39223066671</v>
      </c>
      <c r="AF37" s="88">
        <f t="shared" ref="AF37" si="88">SUM(AF13,AF22,AF30,AF36)</f>
        <v>375756.64223066671</v>
      </c>
      <c r="AG37" s="103" t="str">
        <f t="shared" si="13"/>
        <v/>
      </c>
      <c r="AI37" s="88">
        <f>SUM(AI13,AI22,AI30,AI36)</f>
        <v>3740437.375</v>
      </c>
      <c r="AJ37" s="88">
        <f t="shared" ref="AJ37:AV37" si="89">SUM(AJ13,AJ22,AJ30,AJ36)</f>
        <v>0</v>
      </c>
      <c r="AK37" s="88">
        <f t="shared" si="89"/>
        <v>164450.69841000001</v>
      </c>
      <c r="AL37" s="88">
        <f t="shared" si="89"/>
        <v>206599.06190999999</v>
      </c>
      <c r="AM37" s="88">
        <f t="shared" si="89"/>
        <v>295467.020838</v>
      </c>
      <c r="AN37" s="88">
        <f t="shared" si="89"/>
        <v>300014.63083799998</v>
      </c>
      <c r="AO37" s="88">
        <f t="shared" si="89"/>
        <v>281777.34583800001</v>
      </c>
      <c r="AP37" s="88">
        <f t="shared" si="89"/>
        <v>338275.88083799998</v>
      </c>
      <c r="AQ37" s="88">
        <f t="shared" si="89"/>
        <v>280508.68750466668</v>
      </c>
      <c r="AR37" s="88">
        <f t="shared" si="89"/>
        <v>408954.16636466677</v>
      </c>
      <c r="AS37" s="88">
        <f t="shared" si="89"/>
        <v>370857.72811466677</v>
      </c>
      <c r="AT37" s="88">
        <f t="shared" si="89"/>
        <v>329221.47811466677</v>
      </c>
      <c r="AU37" s="88">
        <f t="shared" si="89"/>
        <v>352894.08811466675</v>
      </c>
      <c r="AV37" s="88">
        <f t="shared" si="89"/>
        <v>411416.58811466675</v>
      </c>
      <c r="AW37" s="83" t="str">
        <f t="shared" si="14"/>
        <v/>
      </c>
    </row>
    <row r="38" spans="1:49">
      <c r="A38" s="23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103" t="str">
        <f t="shared" si="12"/>
        <v/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103" t="str">
        <f t="shared" si="13"/>
        <v/>
      </c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3" t="str">
        <f t="shared" si="14"/>
        <v/>
      </c>
    </row>
    <row r="39" spans="1:49">
      <c r="A39" s="23" t="s">
        <v>41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103" t="str">
        <f t="shared" si="12"/>
        <v/>
      </c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103" t="str">
        <f t="shared" si="13"/>
        <v/>
      </c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3" t="str">
        <f t="shared" si="14"/>
        <v/>
      </c>
    </row>
    <row r="40" spans="1:49">
      <c r="A40" s="23" t="s">
        <v>42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103" t="str">
        <f t="shared" si="12"/>
        <v/>
      </c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3" t="str">
        <f t="shared" si="13"/>
        <v/>
      </c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3" t="str">
        <f t="shared" si="14"/>
        <v/>
      </c>
    </row>
    <row r="41" spans="1:49">
      <c r="A41" s="23"/>
      <c r="B41" s="24" t="s">
        <v>43</v>
      </c>
      <c r="C41" s="89">
        <f>'Budget Summary'!C37</f>
        <v>1009128</v>
      </c>
      <c r="D41" s="89">
        <f>$C41*'Y1 Cash Flow Assumptions'!D41</f>
        <v>0</v>
      </c>
      <c r="E41" s="89">
        <f>$C41*'Y1 Cash Flow Assumptions'!E41</f>
        <v>50456.4</v>
      </c>
      <c r="F41" s="89">
        <f>$C41*'Y1 Cash Flow Assumptions'!F41</f>
        <v>100912.8</v>
      </c>
      <c r="G41" s="89">
        <f>$C41*'Y1 Cash Flow Assumptions'!G41</f>
        <v>100912.8</v>
      </c>
      <c r="H41" s="89">
        <f>$C41*'Y1 Cash Flow Assumptions'!H41</f>
        <v>100912.8</v>
      </c>
      <c r="I41" s="89">
        <f>$C41*'Y1 Cash Flow Assumptions'!I41</f>
        <v>100912.8</v>
      </c>
      <c r="J41" s="89">
        <f>$C41*'Y1 Cash Flow Assumptions'!J41</f>
        <v>100912.8</v>
      </c>
      <c r="K41" s="89">
        <f>$C41*'Y1 Cash Flow Assumptions'!K41</f>
        <v>100912.8</v>
      </c>
      <c r="L41" s="89">
        <f>$C41*'Y1 Cash Flow Assumptions'!L41</f>
        <v>100912.8</v>
      </c>
      <c r="M41" s="89">
        <f>$C41*'Y1 Cash Flow Assumptions'!M41</f>
        <v>100912.8</v>
      </c>
      <c r="N41" s="89">
        <f>$C41*'Y1 Cash Flow Assumptions'!N41</f>
        <v>100912.8</v>
      </c>
      <c r="O41" s="89">
        <f>$C41*'Y1 Cash Flow Assumptions'!O41</f>
        <v>50456.4</v>
      </c>
      <c r="P41" s="89">
        <f>$C41*'Y1 Cash Flow Assumptions'!P41</f>
        <v>0</v>
      </c>
      <c r="Q41" s="103" t="str">
        <f t="shared" si="12"/>
        <v/>
      </c>
      <c r="S41" s="89">
        <f>'Budget Summary'!D37</f>
        <v>1143235.7999999998</v>
      </c>
      <c r="T41" s="89">
        <f>$S41*'Y2_3 Cash Flow Assumptions'!D41</f>
        <v>0</v>
      </c>
      <c r="U41" s="89">
        <f>$S41*'Y2_3 Cash Flow Assumptions'!E41</f>
        <v>57161.789999999994</v>
      </c>
      <c r="V41" s="89">
        <f>$S41*'Y2_3 Cash Flow Assumptions'!F41</f>
        <v>114323.57999999999</v>
      </c>
      <c r="W41" s="89">
        <f>$S41*'Y2_3 Cash Flow Assumptions'!G41</f>
        <v>114323.57999999999</v>
      </c>
      <c r="X41" s="89">
        <f>$S41*'Y2_3 Cash Flow Assumptions'!H41</f>
        <v>114323.57999999999</v>
      </c>
      <c r="Y41" s="89">
        <f>$S41*'Y2_3 Cash Flow Assumptions'!I41</f>
        <v>114323.57999999999</v>
      </c>
      <c r="Z41" s="89">
        <f>$S41*'Y2_3 Cash Flow Assumptions'!J41</f>
        <v>114323.57999999999</v>
      </c>
      <c r="AA41" s="89">
        <f>$S41*'Y2_3 Cash Flow Assumptions'!K41</f>
        <v>114323.57999999999</v>
      </c>
      <c r="AB41" s="89">
        <f>$S41*'Y2_3 Cash Flow Assumptions'!L41</f>
        <v>114323.57999999999</v>
      </c>
      <c r="AC41" s="89">
        <f>$S41*'Y2_3 Cash Flow Assumptions'!M41</f>
        <v>114323.57999999999</v>
      </c>
      <c r="AD41" s="89">
        <f>$S41*'Y2_3 Cash Flow Assumptions'!N41</f>
        <v>114323.57999999999</v>
      </c>
      <c r="AE41" s="89">
        <f>$S41*'Y2_3 Cash Flow Assumptions'!O41</f>
        <v>57161.789999999994</v>
      </c>
      <c r="AF41" s="89">
        <f>$S41*'Y2_3 Cash Flow Assumptions'!P41</f>
        <v>0</v>
      </c>
      <c r="AG41" s="103" t="str">
        <f t="shared" si="13"/>
        <v/>
      </c>
      <c r="AI41" s="89">
        <f>'Budget Summary'!E37</f>
        <v>1283418.2849999997</v>
      </c>
      <c r="AJ41" s="89">
        <f>$AI41*'Y2_3 Cash Flow Assumptions'!D41</f>
        <v>0</v>
      </c>
      <c r="AK41" s="89">
        <f>$AI41*'Y2_3 Cash Flow Assumptions'!E41</f>
        <v>64170.914249999987</v>
      </c>
      <c r="AL41" s="89">
        <f>$AI41*'Y2_3 Cash Flow Assumptions'!F41</f>
        <v>128341.82849999997</v>
      </c>
      <c r="AM41" s="89">
        <f>$AI41*'Y2_3 Cash Flow Assumptions'!G41</f>
        <v>128341.82849999997</v>
      </c>
      <c r="AN41" s="89">
        <f>$AI41*'Y2_3 Cash Flow Assumptions'!H41</f>
        <v>128341.82849999997</v>
      </c>
      <c r="AO41" s="89">
        <f>$AI41*'Y2_3 Cash Flow Assumptions'!I41</f>
        <v>128341.82849999997</v>
      </c>
      <c r="AP41" s="89">
        <f>$AI41*'Y2_3 Cash Flow Assumptions'!J41</f>
        <v>128341.82849999997</v>
      </c>
      <c r="AQ41" s="89">
        <f>$AI41*'Y2_3 Cash Flow Assumptions'!K41</f>
        <v>128341.82849999997</v>
      </c>
      <c r="AR41" s="89">
        <f>$AI41*'Y2_3 Cash Flow Assumptions'!L41</f>
        <v>128341.82849999997</v>
      </c>
      <c r="AS41" s="89">
        <f>$AI41*'Y2_3 Cash Flow Assumptions'!M41</f>
        <v>128341.82849999997</v>
      </c>
      <c r="AT41" s="89">
        <f>$AI41*'Y2_3 Cash Flow Assumptions'!N41</f>
        <v>128341.82849999997</v>
      </c>
      <c r="AU41" s="89">
        <f>$AI41*'Y2_3 Cash Flow Assumptions'!O41</f>
        <v>64170.914249999987</v>
      </c>
      <c r="AV41" s="89">
        <f>$AI41*'Y2_3 Cash Flow Assumptions'!P41</f>
        <v>0</v>
      </c>
      <c r="AW41" s="83" t="str">
        <f t="shared" si="14"/>
        <v/>
      </c>
    </row>
    <row r="42" spans="1:49">
      <c r="A42" s="23"/>
      <c r="B42" s="24" t="s">
        <v>131</v>
      </c>
      <c r="C42" s="89">
        <f>'Budget Summary'!C38</f>
        <v>20000</v>
      </c>
      <c r="D42" s="89">
        <f>$C42*'Y1 Cash Flow Assumptions'!D42</f>
        <v>0</v>
      </c>
      <c r="E42" s="89">
        <f>$C42*'Y1 Cash Flow Assumptions'!E42</f>
        <v>1000</v>
      </c>
      <c r="F42" s="89">
        <f>$C42*'Y1 Cash Flow Assumptions'!F42</f>
        <v>2000</v>
      </c>
      <c r="G42" s="89">
        <f>$C42*'Y1 Cash Flow Assumptions'!G42</f>
        <v>2000</v>
      </c>
      <c r="H42" s="89">
        <f>$C42*'Y1 Cash Flow Assumptions'!H42</f>
        <v>2000</v>
      </c>
      <c r="I42" s="89">
        <f>$C42*'Y1 Cash Flow Assumptions'!I42</f>
        <v>2000</v>
      </c>
      <c r="J42" s="89">
        <f>$C42*'Y1 Cash Flow Assumptions'!J42</f>
        <v>2000</v>
      </c>
      <c r="K42" s="89">
        <f>$C42*'Y1 Cash Flow Assumptions'!K42</f>
        <v>2000</v>
      </c>
      <c r="L42" s="89">
        <f>$C42*'Y1 Cash Flow Assumptions'!L42</f>
        <v>2000</v>
      </c>
      <c r="M42" s="89">
        <f>$C42*'Y1 Cash Flow Assumptions'!M42</f>
        <v>2000</v>
      </c>
      <c r="N42" s="89">
        <f>$C42*'Y1 Cash Flow Assumptions'!N42</f>
        <v>2000</v>
      </c>
      <c r="O42" s="89">
        <f>$C42*'Y1 Cash Flow Assumptions'!O42</f>
        <v>1000</v>
      </c>
      <c r="P42" s="89">
        <f>$C42*'Y1 Cash Flow Assumptions'!P42</f>
        <v>0</v>
      </c>
      <c r="Q42" s="103" t="str">
        <f t="shared" si="12"/>
        <v/>
      </c>
      <c r="S42" s="89">
        <f>'Budget Summary'!D38</f>
        <v>20000</v>
      </c>
      <c r="T42" s="89">
        <f>$S42*'Y2_3 Cash Flow Assumptions'!D42</f>
        <v>0</v>
      </c>
      <c r="U42" s="89">
        <f>$S42*'Y2_3 Cash Flow Assumptions'!E42</f>
        <v>1000</v>
      </c>
      <c r="V42" s="89">
        <f>$S42*'Y2_3 Cash Flow Assumptions'!F42</f>
        <v>2000</v>
      </c>
      <c r="W42" s="89">
        <f>$S42*'Y2_3 Cash Flow Assumptions'!G42</f>
        <v>2000</v>
      </c>
      <c r="X42" s="89">
        <f>$S42*'Y2_3 Cash Flow Assumptions'!H42</f>
        <v>2000</v>
      </c>
      <c r="Y42" s="89">
        <f>$S42*'Y2_3 Cash Flow Assumptions'!I42</f>
        <v>2000</v>
      </c>
      <c r="Z42" s="89">
        <f>$S42*'Y2_3 Cash Flow Assumptions'!J42</f>
        <v>2000</v>
      </c>
      <c r="AA42" s="89">
        <f>$S42*'Y2_3 Cash Flow Assumptions'!K42</f>
        <v>2000</v>
      </c>
      <c r="AB42" s="89">
        <f>$S42*'Y2_3 Cash Flow Assumptions'!L42</f>
        <v>2000</v>
      </c>
      <c r="AC42" s="89">
        <f>$S42*'Y2_3 Cash Flow Assumptions'!M42</f>
        <v>2000</v>
      </c>
      <c r="AD42" s="89">
        <f>$S42*'Y2_3 Cash Flow Assumptions'!N42</f>
        <v>2000</v>
      </c>
      <c r="AE42" s="89">
        <f>$S42*'Y2_3 Cash Flow Assumptions'!O42</f>
        <v>1000</v>
      </c>
      <c r="AF42" s="89">
        <f>$S42*'Y2_3 Cash Flow Assumptions'!P42</f>
        <v>0</v>
      </c>
      <c r="AG42" s="103" t="str">
        <f t="shared" si="13"/>
        <v/>
      </c>
      <c r="AI42" s="89">
        <f>'Budget Summary'!E38</f>
        <v>20000</v>
      </c>
      <c r="AJ42" s="89">
        <f>$AI42*'Y2_3 Cash Flow Assumptions'!D42</f>
        <v>0</v>
      </c>
      <c r="AK42" s="89">
        <f>$AI42*'Y2_3 Cash Flow Assumptions'!E42</f>
        <v>1000</v>
      </c>
      <c r="AL42" s="89">
        <f>$AI42*'Y2_3 Cash Flow Assumptions'!F42</f>
        <v>2000</v>
      </c>
      <c r="AM42" s="89">
        <f>$AI42*'Y2_3 Cash Flow Assumptions'!G42</f>
        <v>2000</v>
      </c>
      <c r="AN42" s="89">
        <f>$AI42*'Y2_3 Cash Flow Assumptions'!H42</f>
        <v>2000</v>
      </c>
      <c r="AO42" s="89">
        <f>$AI42*'Y2_3 Cash Flow Assumptions'!I42</f>
        <v>2000</v>
      </c>
      <c r="AP42" s="89">
        <f>$AI42*'Y2_3 Cash Flow Assumptions'!J42</f>
        <v>2000</v>
      </c>
      <c r="AQ42" s="89">
        <f>$AI42*'Y2_3 Cash Flow Assumptions'!K42</f>
        <v>2000</v>
      </c>
      <c r="AR42" s="89">
        <f>$AI42*'Y2_3 Cash Flow Assumptions'!L42</f>
        <v>2000</v>
      </c>
      <c r="AS42" s="89">
        <f>$AI42*'Y2_3 Cash Flow Assumptions'!M42</f>
        <v>2000</v>
      </c>
      <c r="AT42" s="89">
        <f>$AI42*'Y2_3 Cash Flow Assumptions'!N42</f>
        <v>2000</v>
      </c>
      <c r="AU42" s="89">
        <f>$AI42*'Y2_3 Cash Flow Assumptions'!O42</f>
        <v>1000</v>
      </c>
      <c r="AV42" s="89">
        <f>$AI42*'Y2_3 Cash Flow Assumptions'!P42</f>
        <v>0</v>
      </c>
      <c r="AW42" s="83" t="str">
        <f t="shared" si="14"/>
        <v/>
      </c>
    </row>
    <row r="43" spans="1:49">
      <c r="A43" s="23"/>
      <c r="B43" s="24" t="s">
        <v>44</v>
      </c>
      <c r="C43" s="89">
        <f>'Budget Summary'!C39</f>
        <v>0</v>
      </c>
      <c r="D43" s="89">
        <f>$C43*'Y1 Cash Flow Assumptions'!D43</f>
        <v>0</v>
      </c>
      <c r="E43" s="89">
        <f>$C43*'Y1 Cash Flow Assumptions'!E43</f>
        <v>0</v>
      </c>
      <c r="F43" s="89">
        <f>$C43*'Y1 Cash Flow Assumptions'!F43</f>
        <v>0</v>
      </c>
      <c r="G43" s="89">
        <f>$C43*'Y1 Cash Flow Assumptions'!G43</f>
        <v>0</v>
      </c>
      <c r="H43" s="89">
        <f>$C43*'Y1 Cash Flow Assumptions'!H43</f>
        <v>0</v>
      </c>
      <c r="I43" s="89">
        <f>$C43*'Y1 Cash Flow Assumptions'!I43</f>
        <v>0</v>
      </c>
      <c r="J43" s="89">
        <f>$C43*'Y1 Cash Flow Assumptions'!J43</f>
        <v>0</v>
      </c>
      <c r="K43" s="89">
        <f>$C43*'Y1 Cash Flow Assumptions'!K43</f>
        <v>0</v>
      </c>
      <c r="L43" s="89">
        <f>$C43*'Y1 Cash Flow Assumptions'!L43</f>
        <v>0</v>
      </c>
      <c r="M43" s="89">
        <f>$C43*'Y1 Cash Flow Assumptions'!M43</f>
        <v>0</v>
      </c>
      <c r="N43" s="89">
        <f>$C43*'Y1 Cash Flow Assumptions'!N43</f>
        <v>0</v>
      </c>
      <c r="O43" s="89">
        <f>$C43*'Y1 Cash Flow Assumptions'!O43</f>
        <v>0</v>
      </c>
      <c r="P43" s="89">
        <f>$C43*'Y1 Cash Flow Assumptions'!P43</f>
        <v>0</v>
      </c>
      <c r="Q43" s="103" t="str">
        <f t="shared" si="12"/>
        <v/>
      </c>
      <c r="S43" s="89">
        <f>'Budget Summary'!D39</f>
        <v>0</v>
      </c>
      <c r="T43" s="89">
        <f>$S43*'Y2_3 Cash Flow Assumptions'!D43</f>
        <v>0</v>
      </c>
      <c r="U43" s="89">
        <f>$S43*'Y2_3 Cash Flow Assumptions'!E43</f>
        <v>0</v>
      </c>
      <c r="V43" s="89">
        <f>$S43*'Y2_3 Cash Flow Assumptions'!F43</f>
        <v>0</v>
      </c>
      <c r="W43" s="89">
        <f>$S43*'Y2_3 Cash Flow Assumptions'!G43</f>
        <v>0</v>
      </c>
      <c r="X43" s="89">
        <f>$S43*'Y2_3 Cash Flow Assumptions'!H43</f>
        <v>0</v>
      </c>
      <c r="Y43" s="89">
        <f>$S43*'Y2_3 Cash Flow Assumptions'!I43</f>
        <v>0</v>
      </c>
      <c r="Z43" s="89">
        <f>$S43*'Y2_3 Cash Flow Assumptions'!J43</f>
        <v>0</v>
      </c>
      <c r="AA43" s="89">
        <f>$S43*'Y2_3 Cash Flow Assumptions'!K43</f>
        <v>0</v>
      </c>
      <c r="AB43" s="89">
        <f>$S43*'Y2_3 Cash Flow Assumptions'!L43</f>
        <v>0</v>
      </c>
      <c r="AC43" s="89">
        <f>$S43*'Y2_3 Cash Flow Assumptions'!M43</f>
        <v>0</v>
      </c>
      <c r="AD43" s="89">
        <f>$S43*'Y2_3 Cash Flow Assumptions'!N43</f>
        <v>0</v>
      </c>
      <c r="AE43" s="89">
        <f>$S43*'Y2_3 Cash Flow Assumptions'!O43</f>
        <v>0</v>
      </c>
      <c r="AF43" s="89">
        <f>$S43*'Y2_3 Cash Flow Assumptions'!P43</f>
        <v>0</v>
      </c>
      <c r="AG43" s="103" t="str">
        <f t="shared" si="13"/>
        <v/>
      </c>
      <c r="AI43" s="89">
        <f>'Budget Summary'!E39</f>
        <v>0</v>
      </c>
      <c r="AJ43" s="89">
        <f>$AI43*'Y2_3 Cash Flow Assumptions'!D43</f>
        <v>0</v>
      </c>
      <c r="AK43" s="89">
        <f>$AI43*'Y2_3 Cash Flow Assumptions'!E43</f>
        <v>0</v>
      </c>
      <c r="AL43" s="89">
        <f>$AI43*'Y2_3 Cash Flow Assumptions'!F43</f>
        <v>0</v>
      </c>
      <c r="AM43" s="89">
        <f>$AI43*'Y2_3 Cash Flow Assumptions'!G43</f>
        <v>0</v>
      </c>
      <c r="AN43" s="89">
        <f>$AI43*'Y2_3 Cash Flow Assumptions'!H43</f>
        <v>0</v>
      </c>
      <c r="AO43" s="89">
        <f>$AI43*'Y2_3 Cash Flow Assumptions'!I43</f>
        <v>0</v>
      </c>
      <c r="AP43" s="89">
        <f>$AI43*'Y2_3 Cash Flow Assumptions'!J43</f>
        <v>0</v>
      </c>
      <c r="AQ43" s="89">
        <f>$AI43*'Y2_3 Cash Flow Assumptions'!K43</f>
        <v>0</v>
      </c>
      <c r="AR43" s="89">
        <f>$AI43*'Y2_3 Cash Flow Assumptions'!L43</f>
        <v>0</v>
      </c>
      <c r="AS43" s="89">
        <f>$AI43*'Y2_3 Cash Flow Assumptions'!M43</f>
        <v>0</v>
      </c>
      <c r="AT43" s="89">
        <f>$AI43*'Y2_3 Cash Flow Assumptions'!N43</f>
        <v>0</v>
      </c>
      <c r="AU43" s="89">
        <f>$AI43*'Y2_3 Cash Flow Assumptions'!O43</f>
        <v>0</v>
      </c>
      <c r="AV43" s="89">
        <f>$AI43*'Y2_3 Cash Flow Assumptions'!P43</f>
        <v>0</v>
      </c>
      <c r="AW43" s="83" t="str">
        <f t="shared" si="14"/>
        <v/>
      </c>
    </row>
    <row r="44" spans="1:49">
      <c r="A44" s="23"/>
      <c r="B44" s="24" t="s">
        <v>45</v>
      </c>
      <c r="C44" s="89">
        <f>'Budget Summary'!C40</f>
        <v>220000</v>
      </c>
      <c r="D44" s="89">
        <f>$C44*'Y1 Cash Flow Assumptions'!D44</f>
        <v>0</v>
      </c>
      <c r="E44" s="89">
        <f>$C44*'Y1 Cash Flow Assumptions'!E44</f>
        <v>11000</v>
      </c>
      <c r="F44" s="89">
        <f>$C44*'Y1 Cash Flow Assumptions'!F44</f>
        <v>22000</v>
      </c>
      <c r="G44" s="89">
        <f>$C44*'Y1 Cash Flow Assumptions'!G44</f>
        <v>22000</v>
      </c>
      <c r="H44" s="89">
        <f>$C44*'Y1 Cash Flow Assumptions'!H44</f>
        <v>22000</v>
      </c>
      <c r="I44" s="89">
        <f>$C44*'Y1 Cash Flow Assumptions'!I44</f>
        <v>22000</v>
      </c>
      <c r="J44" s="89">
        <f>$C44*'Y1 Cash Flow Assumptions'!J44</f>
        <v>22000</v>
      </c>
      <c r="K44" s="89">
        <f>$C44*'Y1 Cash Flow Assumptions'!K44</f>
        <v>22000</v>
      </c>
      <c r="L44" s="89">
        <f>$C44*'Y1 Cash Flow Assumptions'!L44</f>
        <v>22000</v>
      </c>
      <c r="M44" s="89">
        <f>$C44*'Y1 Cash Flow Assumptions'!M44</f>
        <v>22000</v>
      </c>
      <c r="N44" s="89">
        <f>$C44*'Y1 Cash Flow Assumptions'!N44</f>
        <v>22000</v>
      </c>
      <c r="O44" s="89">
        <f>$C44*'Y1 Cash Flow Assumptions'!O44</f>
        <v>11000</v>
      </c>
      <c r="P44" s="89">
        <f>$C44*'Y1 Cash Flow Assumptions'!P44</f>
        <v>0</v>
      </c>
      <c r="Q44" s="103" t="str">
        <f t="shared" si="12"/>
        <v/>
      </c>
      <c r="S44" s="89">
        <f>'Budget Summary'!D40</f>
        <v>225499.99999999997</v>
      </c>
      <c r="T44" s="89">
        <f>$S44*'Y2_3 Cash Flow Assumptions'!D44</f>
        <v>0</v>
      </c>
      <c r="U44" s="89">
        <f>$S44*'Y2_3 Cash Flow Assumptions'!E44</f>
        <v>11275</v>
      </c>
      <c r="V44" s="89">
        <f>$S44*'Y2_3 Cash Flow Assumptions'!F44</f>
        <v>22550</v>
      </c>
      <c r="W44" s="89">
        <f>$S44*'Y2_3 Cash Flow Assumptions'!G44</f>
        <v>22550</v>
      </c>
      <c r="X44" s="89">
        <f>$S44*'Y2_3 Cash Flow Assumptions'!H44</f>
        <v>22550</v>
      </c>
      <c r="Y44" s="89">
        <f>$S44*'Y2_3 Cash Flow Assumptions'!I44</f>
        <v>22550</v>
      </c>
      <c r="Z44" s="89">
        <f>$S44*'Y2_3 Cash Flow Assumptions'!J44</f>
        <v>22550</v>
      </c>
      <c r="AA44" s="89">
        <f>$S44*'Y2_3 Cash Flow Assumptions'!K44</f>
        <v>22550</v>
      </c>
      <c r="AB44" s="89">
        <f>$S44*'Y2_3 Cash Flow Assumptions'!L44</f>
        <v>22550</v>
      </c>
      <c r="AC44" s="89">
        <f>$S44*'Y2_3 Cash Flow Assumptions'!M44</f>
        <v>22550</v>
      </c>
      <c r="AD44" s="89">
        <f>$S44*'Y2_3 Cash Flow Assumptions'!N44</f>
        <v>22550</v>
      </c>
      <c r="AE44" s="89">
        <f>$S44*'Y2_3 Cash Flow Assumptions'!O44</f>
        <v>11275</v>
      </c>
      <c r="AF44" s="89">
        <f>$S44*'Y2_3 Cash Flow Assumptions'!P44</f>
        <v>0</v>
      </c>
      <c r="AG44" s="103" t="str">
        <f t="shared" si="13"/>
        <v/>
      </c>
      <c r="AI44" s="89">
        <f>'Budget Summary'!E40</f>
        <v>231137.49999999994</v>
      </c>
      <c r="AJ44" s="89">
        <f>$AI44*'Y2_3 Cash Flow Assumptions'!D44</f>
        <v>0</v>
      </c>
      <c r="AK44" s="89">
        <f>$AI44*'Y2_3 Cash Flow Assumptions'!E44</f>
        <v>11556.874999999998</v>
      </c>
      <c r="AL44" s="89">
        <f>$AI44*'Y2_3 Cash Flow Assumptions'!F44</f>
        <v>23113.749999999996</v>
      </c>
      <c r="AM44" s="89">
        <f>$AI44*'Y2_3 Cash Flow Assumptions'!G44</f>
        <v>23113.749999999996</v>
      </c>
      <c r="AN44" s="89">
        <f>$AI44*'Y2_3 Cash Flow Assumptions'!H44</f>
        <v>23113.749999999996</v>
      </c>
      <c r="AO44" s="89">
        <f>$AI44*'Y2_3 Cash Flow Assumptions'!I44</f>
        <v>23113.749999999996</v>
      </c>
      <c r="AP44" s="89">
        <f>$AI44*'Y2_3 Cash Flow Assumptions'!J44</f>
        <v>23113.749999999996</v>
      </c>
      <c r="AQ44" s="89">
        <f>$AI44*'Y2_3 Cash Flow Assumptions'!K44</f>
        <v>23113.749999999996</v>
      </c>
      <c r="AR44" s="89">
        <f>$AI44*'Y2_3 Cash Flow Assumptions'!L44</f>
        <v>23113.749999999996</v>
      </c>
      <c r="AS44" s="89">
        <f>$AI44*'Y2_3 Cash Flow Assumptions'!M44</f>
        <v>23113.749999999996</v>
      </c>
      <c r="AT44" s="89">
        <f>$AI44*'Y2_3 Cash Flow Assumptions'!N44</f>
        <v>23113.749999999996</v>
      </c>
      <c r="AU44" s="89">
        <f>$AI44*'Y2_3 Cash Flow Assumptions'!O44</f>
        <v>11556.874999999998</v>
      </c>
      <c r="AV44" s="89">
        <f>$AI44*'Y2_3 Cash Flow Assumptions'!P44</f>
        <v>0</v>
      </c>
      <c r="AW44" s="83" t="str">
        <f t="shared" si="14"/>
        <v/>
      </c>
    </row>
    <row r="45" spans="1:49">
      <c r="A45" s="23"/>
      <c r="B45" s="24" t="s">
        <v>288</v>
      </c>
      <c r="C45" s="89">
        <f>'Budget Summary'!C41</f>
        <v>0</v>
      </c>
      <c r="D45" s="89">
        <f>$C45*'Y1 Cash Flow Assumptions'!D45</f>
        <v>0</v>
      </c>
      <c r="E45" s="89">
        <f>$C45*'Y1 Cash Flow Assumptions'!E45</f>
        <v>0</v>
      </c>
      <c r="F45" s="89">
        <f>$C45*'Y1 Cash Flow Assumptions'!F45</f>
        <v>0</v>
      </c>
      <c r="G45" s="89">
        <f>$C45*'Y1 Cash Flow Assumptions'!G45</f>
        <v>0</v>
      </c>
      <c r="H45" s="89">
        <f>$C45*'Y1 Cash Flow Assumptions'!H45</f>
        <v>0</v>
      </c>
      <c r="I45" s="89">
        <f>$C45*'Y1 Cash Flow Assumptions'!I45</f>
        <v>0</v>
      </c>
      <c r="J45" s="89">
        <f>$C45*'Y1 Cash Flow Assumptions'!J45</f>
        <v>0</v>
      </c>
      <c r="K45" s="89">
        <f>$C45*'Y1 Cash Flow Assumptions'!K45</f>
        <v>0</v>
      </c>
      <c r="L45" s="89">
        <f>$C45*'Y1 Cash Flow Assumptions'!L45</f>
        <v>0</v>
      </c>
      <c r="M45" s="89">
        <f>$C45*'Y1 Cash Flow Assumptions'!M45</f>
        <v>0</v>
      </c>
      <c r="N45" s="89">
        <f>$C45*'Y1 Cash Flow Assumptions'!N45</f>
        <v>0</v>
      </c>
      <c r="O45" s="89">
        <f>$C45*'Y1 Cash Flow Assumptions'!O45</f>
        <v>0</v>
      </c>
      <c r="P45" s="89">
        <f>$C45*'Y1 Cash Flow Assumptions'!P45</f>
        <v>0</v>
      </c>
      <c r="Q45" s="103" t="str">
        <f t="shared" si="12"/>
        <v/>
      </c>
      <c r="S45" s="89">
        <f>'Budget Summary'!D41</f>
        <v>0</v>
      </c>
      <c r="T45" s="89">
        <f>$S45*'Y2_3 Cash Flow Assumptions'!D45</f>
        <v>0</v>
      </c>
      <c r="U45" s="89">
        <f>$S45*'Y2_3 Cash Flow Assumptions'!E45</f>
        <v>0</v>
      </c>
      <c r="V45" s="89">
        <f>$S45*'Y2_3 Cash Flow Assumptions'!F45</f>
        <v>0</v>
      </c>
      <c r="W45" s="89">
        <f>$S45*'Y2_3 Cash Flow Assumptions'!G45</f>
        <v>0</v>
      </c>
      <c r="X45" s="89">
        <f>$S45*'Y2_3 Cash Flow Assumptions'!H45</f>
        <v>0</v>
      </c>
      <c r="Y45" s="89">
        <f>$S45*'Y2_3 Cash Flow Assumptions'!I45</f>
        <v>0</v>
      </c>
      <c r="Z45" s="89">
        <f>$S45*'Y2_3 Cash Flow Assumptions'!J45</f>
        <v>0</v>
      </c>
      <c r="AA45" s="89">
        <f>$S45*'Y2_3 Cash Flow Assumptions'!K45</f>
        <v>0</v>
      </c>
      <c r="AB45" s="89">
        <f>$S45*'Y2_3 Cash Flow Assumptions'!L45</f>
        <v>0</v>
      </c>
      <c r="AC45" s="89">
        <f>$S45*'Y2_3 Cash Flow Assumptions'!M45</f>
        <v>0</v>
      </c>
      <c r="AD45" s="89">
        <f>$S45*'Y2_3 Cash Flow Assumptions'!N45</f>
        <v>0</v>
      </c>
      <c r="AE45" s="89">
        <f>$S45*'Y2_3 Cash Flow Assumptions'!O45</f>
        <v>0</v>
      </c>
      <c r="AF45" s="89">
        <f>$S45*'Y2_3 Cash Flow Assumptions'!P45</f>
        <v>0</v>
      </c>
      <c r="AG45" s="103" t="str">
        <f t="shared" si="13"/>
        <v/>
      </c>
      <c r="AI45" s="89">
        <f>'Budget Summary'!E41</f>
        <v>0</v>
      </c>
      <c r="AJ45" s="89">
        <f>$AI45*'Y2_3 Cash Flow Assumptions'!D45</f>
        <v>0</v>
      </c>
      <c r="AK45" s="89">
        <f>$AI45*'Y2_3 Cash Flow Assumptions'!E45</f>
        <v>0</v>
      </c>
      <c r="AL45" s="89">
        <f>$AI45*'Y2_3 Cash Flow Assumptions'!F45</f>
        <v>0</v>
      </c>
      <c r="AM45" s="89">
        <f>$AI45*'Y2_3 Cash Flow Assumptions'!G45</f>
        <v>0</v>
      </c>
      <c r="AN45" s="89">
        <f>$AI45*'Y2_3 Cash Flow Assumptions'!H45</f>
        <v>0</v>
      </c>
      <c r="AO45" s="89">
        <f>$AI45*'Y2_3 Cash Flow Assumptions'!I45</f>
        <v>0</v>
      </c>
      <c r="AP45" s="89">
        <f>$AI45*'Y2_3 Cash Flow Assumptions'!J45</f>
        <v>0</v>
      </c>
      <c r="AQ45" s="89">
        <f>$AI45*'Y2_3 Cash Flow Assumptions'!K45</f>
        <v>0</v>
      </c>
      <c r="AR45" s="89">
        <f>$AI45*'Y2_3 Cash Flow Assumptions'!L45</f>
        <v>0</v>
      </c>
      <c r="AS45" s="89">
        <f>$AI45*'Y2_3 Cash Flow Assumptions'!M45</f>
        <v>0</v>
      </c>
      <c r="AT45" s="89">
        <f>$AI45*'Y2_3 Cash Flow Assumptions'!N45</f>
        <v>0</v>
      </c>
      <c r="AU45" s="89">
        <f>$AI45*'Y2_3 Cash Flow Assumptions'!O45</f>
        <v>0</v>
      </c>
      <c r="AV45" s="89">
        <f>$AI45*'Y2_3 Cash Flow Assumptions'!P45</f>
        <v>0</v>
      </c>
      <c r="AW45" s="83" t="str">
        <f t="shared" si="14"/>
        <v/>
      </c>
    </row>
    <row r="46" spans="1:49">
      <c r="A46" s="23"/>
      <c r="B46" s="24" t="s">
        <v>13</v>
      </c>
      <c r="C46" s="89">
        <f>'Budget Summary'!C42</f>
        <v>0</v>
      </c>
      <c r="D46" s="89">
        <f>$C46*'Y1 Cash Flow Assumptions'!D46</f>
        <v>0</v>
      </c>
      <c r="E46" s="89">
        <f>$C46*'Y1 Cash Flow Assumptions'!E46</f>
        <v>0</v>
      </c>
      <c r="F46" s="89">
        <f>$C46*'Y1 Cash Flow Assumptions'!F46</f>
        <v>0</v>
      </c>
      <c r="G46" s="89">
        <f>$C46*'Y1 Cash Flow Assumptions'!G46</f>
        <v>0</v>
      </c>
      <c r="H46" s="89">
        <f>$C46*'Y1 Cash Flow Assumptions'!H46</f>
        <v>0</v>
      </c>
      <c r="I46" s="89">
        <f>$C46*'Y1 Cash Flow Assumptions'!I46</f>
        <v>0</v>
      </c>
      <c r="J46" s="89">
        <f>$C46*'Y1 Cash Flow Assumptions'!J46</f>
        <v>0</v>
      </c>
      <c r="K46" s="89">
        <f>$C46*'Y1 Cash Flow Assumptions'!K46</f>
        <v>0</v>
      </c>
      <c r="L46" s="89">
        <f>$C46*'Y1 Cash Flow Assumptions'!L46</f>
        <v>0</v>
      </c>
      <c r="M46" s="89">
        <f>$C46*'Y1 Cash Flow Assumptions'!M46</f>
        <v>0</v>
      </c>
      <c r="N46" s="89">
        <f>$C46*'Y1 Cash Flow Assumptions'!N46</f>
        <v>0</v>
      </c>
      <c r="O46" s="89">
        <f>$C46*'Y1 Cash Flow Assumptions'!O46</f>
        <v>0</v>
      </c>
      <c r="P46" s="89">
        <f>$C46*'Y1 Cash Flow Assumptions'!P46</f>
        <v>0</v>
      </c>
      <c r="Q46" s="103" t="str">
        <f t="shared" si="12"/>
        <v/>
      </c>
      <c r="S46" s="89">
        <f>'Budget Summary'!D42</f>
        <v>0</v>
      </c>
      <c r="T46" s="89">
        <f>$S46*'Y2_3 Cash Flow Assumptions'!D46</f>
        <v>0</v>
      </c>
      <c r="U46" s="89">
        <f>$S46*'Y2_3 Cash Flow Assumptions'!E46</f>
        <v>0</v>
      </c>
      <c r="V46" s="89">
        <f>$S46*'Y2_3 Cash Flow Assumptions'!F46</f>
        <v>0</v>
      </c>
      <c r="W46" s="89">
        <f>$S46*'Y2_3 Cash Flow Assumptions'!G46</f>
        <v>0</v>
      </c>
      <c r="X46" s="89">
        <f>$S46*'Y2_3 Cash Flow Assumptions'!H46</f>
        <v>0</v>
      </c>
      <c r="Y46" s="89">
        <f>$S46*'Y2_3 Cash Flow Assumptions'!I46</f>
        <v>0</v>
      </c>
      <c r="Z46" s="89">
        <f>$S46*'Y2_3 Cash Flow Assumptions'!J46</f>
        <v>0</v>
      </c>
      <c r="AA46" s="89">
        <f>$S46*'Y2_3 Cash Flow Assumptions'!K46</f>
        <v>0</v>
      </c>
      <c r="AB46" s="89">
        <f>$S46*'Y2_3 Cash Flow Assumptions'!L46</f>
        <v>0</v>
      </c>
      <c r="AC46" s="89">
        <f>$S46*'Y2_3 Cash Flow Assumptions'!M46</f>
        <v>0</v>
      </c>
      <c r="AD46" s="89">
        <f>$S46*'Y2_3 Cash Flow Assumptions'!N46</f>
        <v>0</v>
      </c>
      <c r="AE46" s="89">
        <f>$S46*'Y2_3 Cash Flow Assumptions'!O46</f>
        <v>0</v>
      </c>
      <c r="AF46" s="89">
        <f>$S46*'Y2_3 Cash Flow Assumptions'!P46</f>
        <v>0</v>
      </c>
      <c r="AG46" s="103" t="str">
        <f t="shared" si="13"/>
        <v/>
      </c>
      <c r="AI46" s="89">
        <f>'Budget Summary'!E42</f>
        <v>0</v>
      </c>
      <c r="AJ46" s="89">
        <f>$AI46*'Y2_3 Cash Flow Assumptions'!D46</f>
        <v>0</v>
      </c>
      <c r="AK46" s="89">
        <f>$AI46*'Y2_3 Cash Flow Assumptions'!E46</f>
        <v>0</v>
      </c>
      <c r="AL46" s="89">
        <f>$AI46*'Y2_3 Cash Flow Assumptions'!F46</f>
        <v>0</v>
      </c>
      <c r="AM46" s="89">
        <f>$AI46*'Y2_3 Cash Flow Assumptions'!G46</f>
        <v>0</v>
      </c>
      <c r="AN46" s="89">
        <f>$AI46*'Y2_3 Cash Flow Assumptions'!H46</f>
        <v>0</v>
      </c>
      <c r="AO46" s="89">
        <f>$AI46*'Y2_3 Cash Flow Assumptions'!I46</f>
        <v>0</v>
      </c>
      <c r="AP46" s="89">
        <f>$AI46*'Y2_3 Cash Flow Assumptions'!J46</f>
        <v>0</v>
      </c>
      <c r="AQ46" s="89">
        <f>$AI46*'Y2_3 Cash Flow Assumptions'!K46</f>
        <v>0</v>
      </c>
      <c r="AR46" s="89">
        <f>$AI46*'Y2_3 Cash Flow Assumptions'!L46</f>
        <v>0</v>
      </c>
      <c r="AS46" s="89">
        <f>$AI46*'Y2_3 Cash Flow Assumptions'!M46</f>
        <v>0</v>
      </c>
      <c r="AT46" s="89">
        <f>$AI46*'Y2_3 Cash Flow Assumptions'!N46</f>
        <v>0</v>
      </c>
      <c r="AU46" s="89">
        <f>$AI46*'Y2_3 Cash Flow Assumptions'!O46</f>
        <v>0</v>
      </c>
      <c r="AV46" s="89">
        <f>$AI46*'Y2_3 Cash Flow Assumptions'!P46</f>
        <v>0</v>
      </c>
      <c r="AW46" s="83" t="str">
        <f t="shared" si="14"/>
        <v/>
      </c>
    </row>
    <row r="47" spans="1:49">
      <c r="A47" s="23" t="s">
        <v>42</v>
      </c>
      <c r="C47" s="88">
        <f>SUM(C41:C46)</f>
        <v>1249128</v>
      </c>
      <c r="D47" s="88">
        <f t="shared" ref="D47:P47" si="90">SUM(D41:D46)</f>
        <v>0</v>
      </c>
      <c r="E47" s="88">
        <f t="shared" si="90"/>
        <v>62456.4</v>
      </c>
      <c r="F47" s="88">
        <f t="shared" si="90"/>
        <v>124912.8</v>
      </c>
      <c r="G47" s="88">
        <f t="shared" si="90"/>
        <v>124912.8</v>
      </c>
      <c r="H47" s="88">
        <f t="shared" si="90"/>
        <v>124912.8</v>
      </c>
      <c r="I47" s="88">
        <f t="shared" si="90"/>
        <v>124912.8</v>
      </c>
      <c r="J47" s="88">
        <f t="shared" si="90"/>
        <v>124912.8</v>
      </c>
      <c r="K47" s="88">
        <f t="shared" si="90"/>
        <v>124912.8</v>
      </c>
      <c r="L47" s="88">
        <f t="shared" si="90"/>
        <v>124912.8</v>
      </c>
      <c r="M47" s="88">
        <f t="shared" si="90"/>
        <v>124912.8</v>
      </c>
      <c r="N47" s="88">
        <f t="shared" si="90"/>
        <v>124912.8</v>
      </c>
      <c r="O47" s="88">
        <f t="shared" si="90"/>
        <v>62456.4</v>
      </c>
      <c r="P47" s="88">
        <f t="shared" si="90"/>
        <v>0</v>
      </c>
      <c r="Q47" s="103" t="str">
        <f t="shared" si="12"/>
        <v/>
      </c>
      <c r="S47" s="88">
        <f>SUM(S41:S46)</f>
        <v>1388735.7999999998</v>
      </c>
      <c r="T47" s="88">
        <f t="shared" ref="T47" si="91">SUM(T41:T46)</f>
        <v>0</v>
      </c>
      <c r="U47" s="88">
        <f t="shared" ref="U47" si="92">SUM(U41:U46)</f>
        <v>69436.789999999994</v>
      </c>
      <c r="V47" s="88">
        <f t="shared" ref="V47" si="93">SUM(V41:V46)</f>
        <v>138873.57999999999</v>
      </c>
      <c r="W47" s="88">
        <f t="shared" ref="W47" si="94">SUM(W41:W46)</f>
        <v>138873.57999999999</v>
      </c>
      <c r="X47" s="88">
        <f t="shared" ref="X47" si="95">SUM(X41:X46)</f>
        <v>138873.57999999999</v>
      </c>
      <c r="Y47" s="88">
        <f t="shared" ref="Y47" si="96">SUM(Y41:Y46)</f>
        <v>138873.57999999999</v>
      </c>
      <c r="Z47" s="88">
        <f t="shared" ref="Z47" si="97">SUM(Z41:Z46)</f>
        <v>138873.57999999999</v>
      </c>
      <c r="AA47" s="88">
        <f t="shared" ref="AA47" si="98">SUM(AA41:AA46)</f>
        <v>138873.57999999999</v>
      </c>
      <c r="AB47" s="88">
        <f t="shared" ref="AB47" si="99">SUM(AB41:AB46)</f>
        <v>138873.57999999999</v>
      </c>
      <c r="AC47" s="88">
        <f t="shared" ref="AC47" si="100">SUM(AC41:AC46)</f>
        <v>138873.57999999999</v>
      </c>
      <c r="AD47" s="88">
        <f t="shared" ref="AD47" si="101">SUM(AD41:AD46)</f>
        <v>138873.57999999999</v>
      </c>
      <c r="AE47" s="88">
        <f t="shared" ref="AE47" si="102">SUM(AE41:AE46)</f>
        <v>69436.789999999994</v>
      </c>
      <c r="AF47" s="88">
        <f t="shared" ref="AF47" si="103">SUM(AF41:AF46)</f>
        <v>0</v>
      </c>
      <c r="AG47" s="103" t="str">
        <f t="shared" si="13"/>
        <v/>
      </c>
      <c r="AI47" s="88">
        <f>SUM(AI41:AI46)</f>
        <v>1534555.7849999997</v>
      </c>
      <c r="AJ47" s="88">
        <f t="shared" ref="AJ47:AV47" si="104">SUM(AJ41:AJ46)</f>
        <v>0</v>
      </c>
      <c r="AK47" s="88">
        <f t="shared" si="104"/>
        <v>76727.789249999987</v>
      </c>
      <c r="AL47" s="88">
        <f t="shared" si="104"/>
        <v>153455.57849999997</v>
      </c>
      <c r="AM47" s="88">
        <f t="shared" si="104"/>
        <v>153455.57849999997</v>
      </c>
      <c r="AN47" s="88">
        <f t="shared" si="104"/>
        <v>153455.57849999997</v>
      </c>
      <c r="AO47" s="88">
        <f t="shared" si="104"/>
        <v>153455.57849999997</v>
      </c>
      <c r="AP47" s="88">
        <f t="shared" si="104"/>
        <v>153455.57849999997</v>
      </c>
      <c r="AQ47" s="88">
        <f t="shared" si="104"/>
        <v>153455.57849999997</v>
      </c>
      <c r="AR47" s="88">
        <f t="shared" si="104"/>
        <v>153455.57849999997</v>
      </c>
      <c r="AS47" s="88">
        <f t="shared" si="104"/>
        <v>153455.57849999997</v>
      </c>
      <c r="AT47" s="88">
        <f t="shared" si="104"/>
        <v>153455.57849999997</v>
      </c>
      <c r="AU47" s="88">
        <f t="shared" si="104"/>
        <v>76727.789249999987</v>
      </c>
      <c r="AV47" s="88">
        <f t="shared" si="104"/>
        <v>0</v>
      </c>
      <c r="AW47" s="83" t="str">
        <f t="shared" si="14"/>
        <v/>
      </c>
    </row>
    <row r="48" spans="1:49">
      <c r="A48" s="23" t="s">
        <v>46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103" t="str">
        <f t="shared" si="12"/>
        <v/>
      </c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103" t="str">
        <f t="shared" si="13"/>
        <v/>
      </c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3" t="str">
        <f t="shared" si="14"/>
        <v/>
      </c>
    </row>
    <row r="49" spans="1:49">
      <c r="A49" s="23"/>
      <c r="B49" s="24" t="s">
        <v>47</v>
      </c>
      <c r="C49" s="89">
        <f>'Budget Summary'!C45</f>
        <v>94080</v>
      </c>
      <c r="D49" s="89">
        <f>$C49*'Y1 Cash Flow Assumptions'!D49</f>
        <v>0</v>
      </c>
      <c r="E49" s="89">
        <f>$C49*'Y1 Cash Flow Assumptions'!E49</f>
        <v>4704</v>
      </c>
      <c r="F49" s="89">
        <f>$C49*'Y1 Cash Flow Assumptions'!F49</f>
        <v>9408</v>
      </c>
      <c r="G49" s="89">
        <f>$C49*'Y1 Cash Flow Assumptions'!G49</f>
        <v>9408</v>
      </c>
      <c r="H49" s="89">
        <f>$C49*'Y1 Cash Flow Assumptions'!H49</f>
        <v>9408</v>
      </c>
      <c r="I49" s="89">
        <f>$C49*'Y1 Cash Flow Assumptions'!I49</f>
        <v>9408</v>
      </c>
      <c r="J49" s="89">
        <f>$C49*'Y1 Cash Flow Assumptions'!J49</f>
        <v>9408</v>
      </c>
      <c r="K49" s="89">
        <f>$C49*'Y1 Cash Flow Assumptions'!K49</f>
        <v>9408</v>
      </c>
      <c r="L49" s="89">
        <f>$C49*'Y1 Cash Flow Assumptions'!L49</f>
        <v>9408</v>
      </c>
      <c r="M49" s="89">
        <f>$C49*'Y1 Cash Flow Assumptions'!M49</f>
        <v>9408</v>
      </c>
      <c r="N49" s="89">
        <f>$C49*'Y1 Cash Flow Assumptions'!N49</f>
        <v>9408</v>
      </c>
      <c r="O49" s="89">
        <f>$C49*'Y1 Cash Flow Assumptions'!O49</f>
        <v>4704</v>
      </c>
      <c r="P49" s="89">
        <f>$C49*'Y1 Cash Flow Assumptions'!P49</f>
        <v>0</v>
      </c>
      <c r="Q49" s="103" t="str">
        <f t="shared" si="12"/>
        <v/>
      </c>
      <c r="S49" s="89">
        <f>'Budget Summary'!D45</f>
        <v>128575.99999999999</v>
      </c>
      <c r="T49" s="89">
        <f>$S49*'Y2_3 Cash Flow Assumptions'!D49</f>
        <v>0</v>
      </c>
      <c r="U49" s="89">
        <f>$S49*'Y2_3 Cash Flow Assumptions'!E49</f>
        <v>6428.7999999999993</v>
      </c>
      <c r="V49" s="89">
        <f>$S49*'Y2_3 Cash Flow Assumptions'!F49</f>
        <v>12857.599999999999</v>
      </c>
      <c r="W49" s="89">
        <f>$S49*'Y2_3 Cash Flow Assumptions'!G49</f>
        <v>12857.599999999999</v>
      </c>
      <c r="X49" s="89">
        <f>$S49*'Y2_3 Cash Flow Assumptions'!H49</f>
        <v>12857.599999999999</v>
      </c>
      <c r="Y49" s="89">
        <f>$S49*'Y2_3 Cash Flow Assumptions'!I49</f>
        <v>12857.599999999999</v>
      </c>
      <c r="Z49" s="89">
        <f>$S49*'Y2_3 Cash Flow Assumptions'!J49</f>
        <v>12857.599999999999</v>
      </c>
      <c r="AA49" s="89">
        <f>$S49*'Y2_3 Cash Flow Assumptions'!K49</f>
        <v>12857.599999999999</v>
      </c>
      <c r="AB49" s="89">
        <f>$S49*'Y2_3 Cash Flow Assumptions'!L49</f>
        <v>12857.599999999999</v>
      </c>
      <c r="AC49" s="89">
        <f>$S49*'Y2_3 Cash Flow Assumptions'!M49</f>
        <v>12857.599999999999</v>
      </c>
      <c r="AD49" s="89">
        <f>$S49*'Y2_3 Cash Flow Assumptions'!N49</f>
        <v>12857.599999999999</v>
      </c>
      <c r="AE49" s="89">
        <f>$S49*'Y2_3 Cash Flow Assumptions'!O49</f>
        <v>6428.7999999999993</v>
      </c>
      <c r="AF49" s="89">
        <f>$S49*'Y2_3 Cash Flow Assumptions'!P49</f>
        <v>0</v>
      </c>
      <c r="AG49" s="103" t="str">
        <f t="shared" si="13"/>
        <v/>
      </c>
      <c r="AI49" s="89">
        <f>'Budget Summary'!E45</f>
        <v>131790.39999999997</v>
      </c>
      <c r="AJ49" s="89">
        <f>$AI49*'Y2_3 Cash Flow Assumptions'!D49</f>
        <v>0</v>
      </c>
      <c r="AK49" s="89">
        <f>$AI49*'Y2_3 Cash Flow Assumptions'!E49</f>
        <v>6589.5199999999986</v>
      </c>
      <c r="AL49" s="89">
        <f>$AI49*'Y2_3 Cash Flow Assumptions'!F49</f>
        <v>13179.039999999997</v>
      </c>
      <c r="AM49" s="89">
        <f>$AI49*'Y2_3 Cash Flow Assumptions'!G49</f>
        <v>13179.039999999997</v>
      </c>
      <c r="AN49" s="89">
        <f>$AI49*'Y2_3 Cash Flow Assumptions'!H49</f>
        <v>13179.039999999997</v>
      </c>
      <c r="AO49" s="89">
        <f>$AI49*'Y2_3 Cash Flow Assumptions'!I49</f>
        <v>13179.039999999997</v>
      </c>
      <c r="AP49" s="89">
        <f>$AI49*'Y2_3 Cash Flow Assumptions'!J49</f>
        <v>13179.039999999997</v>
      </c>
      <c r="AQ49" s="89">
        <f>$AI49*'Y2_3 Cash Flow Assumptions'!K49</f>
        <v>13179.039999999997</v>
      </c>
      <c r="AR49" s="89">
        <f>$AI49*'Y2_3 Cash Flow Assumptions'!L49</f>
        <v>13179.039999999997</v>
      </c>
      <c r="AS49" s="89">
        <f>$AI49*'Y2_3 Cash Flow Assumptions'!M49</f>
        <v>13179.039999999997</v>
      </c>
      <c r="AT49" s="89">
        <f>$AI49*'Y2_3 Cash Flow Assumptions'!N49</f>
        <v>13179.039999999997</v>
      </c>
      <c r="AU49" s="89">
        <f>$AI49*'Y2_3 Cash Flow Assumptions'!O49</f>
        <v>6589.5199999999986</v>
      </c>
      <c r="AV49" s="89">
        <f>$AI49*'Y2_3 Cash Flow Assumptions'!P49</f>
        <v>0</v>
      </c>
      <c r="AW49" s="83" t="str">
        <f t="shared" si="14"/>
        <v/>
      </c>
    </row>
    <row r="50" spans="1:49">
      <c r="A50" s="23"/>
      <c r="B50" s="24" t="s">
        <v>14</v>
      </c>
      <c r="C50" s="89">
        <f>'Budget Summary'!C46</f>
        <v>62720</v>
      </c>
      <c r="D50" s="89">
        <f>$C50*'Y1 Cash Flow Assumptions'!D50</f>
        <v>0</v>
      </c>
      <c r="E50" s="89">
        <f>$C50*'Y1 Cash Flow Assumptions'!E50</f>
        <v>3136</v>
      </c>
      <c r="F50" s="89">
        <f>$C50*'Y1 Cash Flow Assumptions'!F50</f>
        <v>6272</v>
      </c>
      <c r="G50" s="89">
        <f>$C50*'Y1 Cash Flow Assumptions'!G50</f>
        <v>6272</v>
      </c>
      <c r="H50" s="89">
        <f>$C50*'Y1 Cash Flow Assumptions'!H50</f>
        <v>6272</v>
      </c>
      <c r="I50" s="89">
        <f>$C50*'Y1 Cash Flow Assumptions'!I50</f>
        <v>6272</v>
      </c>
      <c r="J50" s="89">
        <f>$C50*'Y1 Cash Flow Assumptions'!J50</f>
        <v>6272</v>
      </c>
      <c r="K50" s="89">
        <f>$C50*'Y1 Cash Flow Assumptions'!K50</f>
        <v>6272</v>
      </c>
      <c r="L50" s="89">
        <f>$C50*'Y1 Cash Flow Assumptions'!L50</f>
        <v>6272</v>
      </c>
      <c r="M50" s="89">
        <f>$C50*'Y1 Cash Flow Assumptions'!M50</f>
        <v>6272</v>
      </c>
      <c r="N50" s="89">
        <f>$C50*'Y1 Cash Flow Assumptions'!N50</f>
        <v>6272</v>
      </c>
      <c r="O50" s="89">
        <f>$C50*'Y1 Cash Flow Assumptions'!O50</f>
        <v>3136</v>
      </c>
      <c r="P50" s="89">
        <f>$C50*'Y1 Cash Flow Assumptions'!P50</f>
        <v>0</v>
      </c>
      <c r="Q50" s="103" t="str">
        <f t="shared" si="12"/>
        <v/>
      </c>
      <c r="S50" s="89">
        <f>'Budget Summary'!D46</f>
        <v>64287.999999999993</v>
      </c>
      <c r="T50" s="89">
        <f>$S50*'Y2_3 Cash Flow Assumptions'!D50</f>
        <v>0</v>
      </c>
      <c r="U50" s="89">
        <f>$S50*'Y2_3 Cash Flow Assumptions'!E50</f>
        <v>3214.3999999999996</v>
      </c>
      <c r="V50" s="89">
        <f>$S50*'Y2_3 Cash Flow Assumptions'!F50</f>
        <v>6428.7999999999993</v>
      </c>
      <c r="W50" s="89">
        <f>$S50*'Y2_3 Cash Flow Assumptions'!G50</f>
        <v>6428.7999999999993</v>
      </c>
      <c r="X50" s="89">
        <f>$S50*'Y2_3 Cash Flow Assumptions'!H50</f>
        <v>6428.7999999999993</v>
      </c>
      <c r="Y50" s="89">
        <f>$S50*'Y2_3 Cash Flow Assumptions'!I50</f>
        <v>6428.7999999999993</v>
      </c>
      <c r="Z50" s="89">
        <f>$S50*'Y2_3 Cash Flow Assumptions'!J50</f>
        <v>6428.7999999999993</v>
      </c>
      <c r="AA50" s="89">
        <f>$S50*'Y2_3 Cash Flow Assumptions'!K50</f>
        <v>6428.7999999999993</v>
      </c>
      <c r="AB50" s="89">
        <f>$S50*'Y2_3 Cash Flow Assumptions'!L50</f>
        <v>6428.7999999999993</v>
      </c>
      <c r="AC50" s="89">
        <f>$S50*'Y2_3 Cash Flow Assumptions'!M50</f>
        <v>6428.7999999999993</v>
      </c>
      <c r="AD50" s="89">
        <f>$S50*'Y2_3 Cash Flow Assumptions'!N50</f>
        <v>6428.7999999999993</v>
      </c>
      <c r="AE50" s="89">
        <f>$S50*'Y2_3 Cash Flow Assumptions'!O50</f>
        <v>3214.3999999999996</v>
      </c>
      <c r="AF50" s="89">
        <f>$S50*'Y2_3 Cash Flow Assumptions'!P50</f>
        <v>0</v>
      </c>
      <c r="AG50" s="103" t="str">
        <f t="shared" si="13"/>
        <v/>
      </c>
      <c r="AI50" s="89">
        <f>'Budget Summary'!E46</f>
        <v>65895.199999999983</v>
      </c>
      <c r="AJ50" s="89">
        <f>$AI50*'Y2_3 Cash Flow Assumptions'!D50</f>
        <v>0</v>
      </c>
      <c r="AK50" s="89">
        <f>$AI50*'Y2_3 Cash Flow Assumptions'!E50</f>
        <v>3294.7599999999993</v>
      </c>
      <c r="AL50" s="89">
        <f>$AI50*'Y2_3 Cash Flow Assumptions'!F50</f>
        <v>6589.5199999999986</v>
      </c>
      <c r="AM50" s="89">
        <f>$AI50*'Y2_3 Cash Flow Assumptions'!G50</f>
        <v>6589.5199999999986</v>
      </c>
      <c r="AN50" s="89">
        <f>$AI50*'Y2_3 Cash Flow Assumptions'!H50</f>
        <v>6589.5199999999986</v>
      </c>
      <c r="AO50" s="89">
        <f>$AI50*'Y2_3 Cash Flow Assumptions'!I50</f>
        <v>6589.5199999999986</v>
      </c>
      <c r="AP50" s="89">
        <f>$AI50*'Y2_3 Cash Flow Assumptions'!J50</f>
        <v>6589.5199999999986</v>
      </c>
      <c r="AQ50" s="89">
        <f>$AI50*'Y2_3 Cash Flow Assumptions'!K50</f>
        <v>6589.5199999999986</v>
      </c>
      <c r="AR50" s="89">
        <f>$AI50*'Y2_3 Cash Flow Assumptions'!L50</f>
        <v>6589.5199999999986</v>
      </c>
      <c r="AS50" s="89">
        <f>$AI50*'Y2_3 Cash Flow Assumptions'!M50</f>
        <v>6589.5199999999986</v>
      </c>
      <c r="AT50" s="89">
        <f>$AI50*'Y2_3 Cash Flow Assumptions'!N50</f>
        <v>6589.5199999999986</v>
      </c>
      <c r="AU50" s="89">
        <f>$AI50*'Y2_3 Cash Flow Assumptions'!O50</f>
        <v>3294.7599999999993</v>
      </c>
      <c r="AV50" s="89">
        <f>$AI50*'Y2_3 Cash Flow Assumptions'!P50</f>
        <v>0</v>
      </c>
      <c r="AW50" s="83" t="str">
        <f t="shared" si="14"/>
        <v/>
      </c>
    </row>
    <row r="51" spans="1:49">
      <c r="A51" s="23"/>
      <c r="B51" s="24" t="s">
        <v>48</v>
      </c>
      <c r="C51" s="89">
        <f>'Budget Summary'!C47</f>
        <v>0</v>
      </c>
      <c r="D51" s="89">
        <f>$C51*'Y1 Cash Flow Assumptions'!D51</f>
        <v>0</v>
      </c>
      <c r="E51" s="89">
        <f>$C51*'Y1 Cash Flow Assumptions'!E51</f>
        <v>0</v>
      </c>
      <c r="F51" s="89">
        <f>$C51*'Y1 Cash Flow Assumptions'!F51</f>
        <v>0</v>
      </c>
      <c r="G51" s="89">
        <f>$C51*'Y1 Cash Flow Assumptions'!G51</f>
        <v>0</v>
      </c>
      <c r="H51" s="89">
        <f>$C51*'Y1 Cash Flow Assumptions'!H51</f>
        <v>0</v>
      </c>
      <c r="I51" s="89">
        <f>$C51*'Y1 Cash Flow Assumptions'!I51</f>
        <v>0</v>
      </c>
      <c r="J51" s="89">
        <f>$C51*'Y1 Cash Flow Assumptions'!J51</f>
        <v>0</v>
      </c>
      <c r="K51" s="89">
        <f>$C51*'Y1 Cash Flow Assumptions'!K51</f>
        <v>0</v>
      </c>
      <c r="L51" s="89">
        <f>$C51*'Y1 Cash Flow Assumptions'!L51</f>
        <v>0</v>
      </c>
      <c r="M51" s="89">
        <f>$C51*'Y1 Cash Flow Assumptions'!M51</f>
        <v>0</v>
      </c>
      <c r="N51" s="89">
        <f>$C51*'Y1 Cash Flow Assumptions'!N51</f>
        <v>0</v>
      </c>
      <c r="O51" s="89">
        <f>$C51*'Y1 Cash Flow Assumptions'!O51</f>
        <v>0</v>
      </c>
      <c r="P51" s="89">
        <f>$C51*'Y1 Cash Flow Assumptions'!P51</f>
        <v>0</v>
      </c>
      <c r="Q51" s="103" t="str">
        <f t="shared" si="12"/>
        <v/>
      </c>
      <c r="S51" s="89">
        <f>'Budget Summary'!D47</f>
        <v>0</v>
      </c>
      <c r="T51" s="89">
        <f>$S51*'Y2_3 Cash Flow Assumptions'!D51</f>
        <v>0</v>
      </c>
      <c r="U51" s="89">
        <f>$S51*'Y2_3 Cash Flow Assumptions'!E51</f>
        <v>0</v>
      </c>
      <c r="V51" s="89">
        <f>$S51*'Y2_3 Cash Flow Assumptions'!F51</f>
        <v>0</v>
      </c>
      <c r="W51" s="89">
        <f>$S51*'Y2_3 Cash Flow Assumptions'!G51</f>
        <v>0</v>
      </c>
      <c r="X51" s="89">
        <f>$S51*'Y2_3 Cash Flow Assumptions'!H51</f>
        <v>0</v>
      </c>
      <c r="Y51" s="89">
        <f>$S51*'Y2_3 Cash Flow Assumptions'!I51</f>
        <v>0</v>
      </c>
      <c r="Z51" s="89">
        <f>$S51*'Y2_3 Cash Flow Assumptions'!J51</f>
        <v>0</v>
      </c>
      <c r="AA51" s="89">
        <f>$S51*'Y2_3 Cash Flow Assumptions'!K51</f>
        <v>0</v>
      </c>
      <c r="AB51" s="89">
        <f>$S51*'Y2_3 Cash Flow Assumptions'!L51</f>
        <v>0</v>
      </c>
      <c r="AC51" s="89">
        <f>$S51*'Y2_3 Cash Flow Assumptions'!M51</f>
        <v>0</v>
      </c>
      <c r="AD51" s="89">
        <f>$S51*'Y2_3 Cash Flow Assumptions'!N51</f>
        <v>0</v>
      </c>
      <c r="AE51" s="89">
        <f>$S51*'Y2_3 Cash Flow Assumptions'!O51</f>
        <v>0</v>
      </c>
      <c r="AF51" s="89">
        <f>$S51*'Y2_3 Cash Flow Assumptions'!P51</f>
        <v>0</v>
      </c>
      <c r="AG51" s="103" t="str">
        <f t="shared" si="13"/>
        <v/>
      </c>
      <c r="AI51" s="89">
        <f>'Budget Summary'!E47</f>
        <v>0</v>
      </c>
      <c r="AJ51" s="89">
        <f>$AI51*'Y2_3 Cash Flow Assumptions'!D51</f>
        <v>0</v>
      </c>
      <c r="AK51" s="89">
        <f>$AI51*'Y2_3 Cash Flow Assumptions'!E51</f>
        <v>0</v>
      </c>
      <c r="AL51" s="89">
        <f>$AI51*'Y2_3 Cash Flow Assumptions'!F51</f>
        <v>0</v>
      </c>
      <c r="AM51" s="89">
        <f>$AI51*'Y2_3 Cash Flow Assumptions'!G51</f>
        <v>0</v>
      </c>
      <c r="AN51" s="89">
        <f>$AI51*'Y2_3 Cash Flow Assumptions'!H51</f>
        <v>0</v>
      </c>
      <c r="AO51" s="89">
        <f>$AI51*'Y2_3 Cash Flow Assumptions'!I51</f>
        <v>0</v>
      </c>
      <c r="AP51" s="89">
        <f>$AI51*'Y2_3 Cash Flow Assumptions'!J51</f>
        <v>0</v>
      </c>
      <c r="AQ51" s="89">
        <f>$AI51*'Y2_3 Cash Flow Assumptions'!K51</f>
        <v>0</v>
      </c>
      <c r="AR51" s="89">
        <f>$AI51*'Y2_3 Cash Flow Assumptions'!L51</f>
        <v>0</v>
      </c>
      <c r="AS51" s="89">
        <f>$AI51*'Y2_3 Cash Flow Assumptions'!M51</f>
        <v>0</v>
      </c>
      <c r="AT51" s="89">
        <f>$AI51*'Y2_3 Cash Flow Assumptions'!N51</f>
        <v>0</v>
      </c>
      <c r="AU51" s="89">
        <f>$AI51*'Y2_3 Cash Flow Assumptions'!O51</f>
        <v>0</v>
      </c>
      <c r="AV51" s="89">
        <f>$AI51*'Y2_3 Cash Flow Assumptions'!P51</f>
        <v>0</v>
      </c>
      <c r="AW51" s="83" t="str">
        <f t="shared" si="14"/>
        <v/>
      </c>
    </row>
    <row r="52" spans="1:49">
      <c r="A52" s="23"/>
      <c r="B52" s="24" t="s">
        <v>49</v>
      </c>
      <c r="C52" s="89">
        <f>'Budget Summary'!C48</f>
        <v>129360</v>
      </c>
      <c r="D52" s="89">
        <f>$C52*'Y1 Cash Flow Assumptions'!D52</f>
        <v>0</v>
      </c>
      <c r="E52" s="89">
        <f>$C52*'Y1 Cash Flow Assumptions'!E52</f>
        <v>6468</v>
      </c>
      <c r="F52" s="89">
        <f>$C52*'Y1 Cash Flow Assumptions'!F52</f>
        <v>12936</v>
      </c>
      <c r="G52" s="89">
        <f>$C52*'Y1 Cash Flow Assumptions'!G52</f>
        <v>12936</v>
      </c>
      <c r="H52" s="89">
        <f>$C52*'Y1 Cash Flow Assumptions'!H52</f>
        <v>12936</v>
      </c>
      <c r="I52" s="89">
        <f>$C52*'Y1 Cash Flow Assumptions'!I52</f>
        <v>12936</v>
      </c>
      <c r="J52" s="89">
        <f>$C52*'Y1 Cash Flow Assumptions'!J52</f>
        <v>12936</v>
      </c>
      <c r="K52" s="89">
        <f>$C52*'Y1 Cash Flow Assumptions'!K52</f>
        <v>12936</v>
      </c>
      <c r="L52" s="89">
        <f>$C52*'Y1 Cash Flow Assumptions'!L52</f>
        <v>12936</v>
      </c>
      <c r="M52" s="89">
        <f>$C52*'Y1 Cash Flow Assumptions'!M52</f>
        <v>12936</v>
      </c>
      <c r="N52" s="89">
        <f>$C52*'Y1 Cash Flow Assumptions'!N52</f>
        <v>12936</v>
      </c>
      <c r="O52" s="89">
        <f>$C52*'Y1 Cash Flow Assumptions'!O52</f>
        <v>6468</v>
      </c>
      <c r="P52" s="89">
        <f>$C52*'Y1 Cash Flow Assumptions'!P52</f>
        <v>0</v>
      </c>
      <c r="Q52" s="103" t="str">
        <f t="shared" si="12"/>
        <v/>
      </c>
      <c r="S52" s="89">
        <f>'Budget Summary'!D48</f>
        <v>132593.99999999997</v>
      </c>
      <c r="T52" s="89">
        <f>$S52*'Y2_3 Cash Flow Assumptions'!D52</f>
        <v>0</v>
      </c>
      <c r="U52" s="89">
        <f>$S52*'Y2_3 Cash Flow Assumptions'!E52</f>
        <v>6629.6999999999989</v>
      </c>
      <c r="V52" s="89">
        <f>$S52*'Y2_3 Cash Flow Assumptions'!F52</f>
        <v>13259.399999999998</v>
      </c>
      <c r="W52" s="89">
        <f>$S52*'Y2_3 Cash Flow Assumptions'!G52</f>
        <v>13259.399999999998</v>
      </c>
      <c r="X52" s="89">
        <f>$S52*'Y2_3 Cash Flow Assumptions'!H52</f>
        <v>13259.399999999998</v>
      </c>
      <c r="Y52" s="89">
        <f>$S52*'Y2_3 Cash Flow Assumptions'!I52</f>
        <v>13259.399999999998</v>
      </c>
      <c r="Z52" s="89">
        <f>$S52*'Y2_3 Cash Flow Assumptions'!J52</f>
        <v>13259.399999999998</v>
      </c>
      <c r="AA52" s="89">
        <f>$S52*'Y2_3 Cash Flow Assumptions'!K52</f>
        <v>13259.399999999998</v>
      </c>
      <c r="AB52" s="89">
        <f>$S52*'Y2_3 Cash Flow Assumptions'!L52</f>
        <v>13259.399999999998</v>
      </c>
      <c r="AC52" s="89">
        <f>$S52*'Y2_3 Cash Flow Assumptions'!M52</f>
        <v>13259.399999999998</v>
      </c>
      <c r="AD52" s="89">
        <f>$S52*'Y2_3 Cash Flow Assumptions'!N52</f>
        <v>13259.399999999998</v>
      </c>
      <c r="AE52" s="89">
        <f>$S52*'Y2_3 Cash Flow Assumptions'!O52</f>
        <v>6629.6999999999989</v>
      </c>
      <c r="AF52" s="89">
        <f>$S52*'Y2_3 Cash Flow Assumptions'!P52</f>
        <v>0</v>
      </c>
      <c r="AG52" s="103" t="str">
        <f t="shared" si="13"/>
        <v/>
      </c>
      <c r="AI52" s="89">
        <f>'Budget Summary'!E48</f>
        <v>135908.84999999998</v>
      </c>
      <c r="AJ52" s="89">
        <f>$AI52*'Y2_3 Cash Flow Assumptions'!D52</f>
        <v>0</v>
      </c>
      <c r="AK52" s="89">
        <f>$AI52*'Y2_3 Cash Flow Assumptions'!E52</f>
        <v>6795.4424999999992</v>
      </c>
      <c r="AL52" s="89">
        <f>$AI52*'Y2_3 Cash Flow Assumptions'!F52</f>
        <v>13590.884999999998</v>
      </c>
      <c r="AM52" s="89">
        <f>$AI52*'Y2_3 Cash Flow Assumptions'!G52</f>
        <v>13590.884999999998</v>
      </c>
      <c r="AN52" s="89">
        <f>$AI52*'Y2_3 Cash Flow Assumptions'!H52</f>
        <v>13590.884999999998</v>
      </c>
      <c r="AO52" s="89">
        <f>$AI52*'Y2_3 Cash Flow Assumptions'!I52</f>
        <v>13590.884999999998</v>
      </c>
      <c r="AP52" s="89">
        <f>$AI52*'Y2_3 Cash Flow Assumptions'!J52</f>
        <v>13590.884999999998</v>
      </c>
      <c r="AQ52" s="89">
        <f>$AI52*'Y2_3 Cash Flow Assumptions'!K52</f>
        <v>13590.884999999998</v>
      </c>
      <c r="AR52" s="89">
        <f>$AI52*'Y2_3 Cash Flow Assumptions'!L52</f>
        <v>13590.884999999998</v>
      </c>
      <c r="AS52" s="89">
        <f>$AI52*'Y2_3 Cash Flow Assumptions'!M52</f>
        <v>13590.884999999998</v>
      </c>
      <c r="AT52" s="89">
        <f>$AI52*'Y2_3 Cash Flow Assumptions'!N52</f>
        <v>13590.884999999998</v>
      </c>
      <c r="AU52" s="89">
        <f>$AI52*'Y2_3 Cash Flow Assumptions'!O52</f>
        <v>6795.4424999999992</v>
      </c>
      <c r="AV52" s="89">
        <f>$AI52*'Y2_3 Cash Flow Assumptions'!P52</f>
        <v>0</v>
      </c>
      <c r="AW52" s="83" t="str">
        <f t="shared" si="14"/>
        <v/>
      </c>
    </row>
    <row r="53" spans="1:49">
      <c r="A53" s="23"/>
      <c r="B53" s="24" t="s">
        <v>294</v>
      </c>
      <c r="C53" s="89">
        <f>'Budget Summary'!C49</f>
        <v>0</v>
      </c>
      <c r="D53" s="89">
        <f>$C53*'Y1 Cash Flow Assumptions'!D53</f>
        <v>0</v>
      </c>
      <c r="E53" s="89">
        <f>$C53*'Y1 Cash Flow Assumptions'!E53</f>
        <v>0</v>
      </c>
      <c r="F53" s="89">
        <f>$C53*'Y1 Cash Flow Assumptions'!F53</f>
        <v>0</v>
      </c>
      <c r="G53" s="89">
        <f>$C53*'Y1 Cash Flow Assumptions'!G53</f>
        <v>0</v>
      </c>
      <c r="H53" s="89">
        <f>$C53*'Y1 Cash Flow Assumptions'!H53</f>
        <v>0</v>
      </c>
      <c r="I53" s="89">
        <f>$C53*'Y1 Cash Flow Assumptions'!I53</f>
        <v>0</v>
      </c>
      <c r="J53" s="89">
        <f>$C53*'Y1 Cash Flow Assumptions'!J53</f>
        <v>0</v>
      </c>
      <c r="K53" s="89">
        <f>$C53*'Y1 Cash Flow Assumptions'!K53</f>
        <v>0</v>
      </c>
      <c r="L53" s="89">
        <f>$C53*'Y1 Cash Flow Assumptions'!L53</f>
        <v>0</v>
      </c>
      <c r="M53" s="89">
        <f>$C53*'Y1 Cash Flow Assumptions'!M53</f>
        <v>0</v>
      </c>
      <c r="N53" s="89">
        <f>$C53*'Y1 Cash Flow Assumptions'!N53</f>
        <v>0</v>
      </c>
      <c r="O53" s="89">
        <f>$C53*'Y1 Cash Flow Assumptions'!O53</f>
        <v>0</v>
      </c>
      <c r="P53" s="89">
        <f>$C53*'Y1 Cash Flow Assumptions'!P53</f>
        <v>0</v>
      </c>
      <c r="Q53" s="103" t="str">
        <f t="shared" si="12"/>
        <v/>
      </c>
      <c r="S53" s="89">
        <f>'Budget Summary'!D49</f>
        <v>0</v>
      </c>
      <c r="T53" s="89">
        <f>$S53*'Y2_3 Cash Flow Assumptions'!D53</f>
        <v>0</v>
      </c>
      <c r="U53" s="89">
        <f>$S53*'Y2_3 Cash Flow Assumptions'!E53</f>
        <v>0</v>
      </c>
      <c r="V53" s="89">
        <f>$S53*'Y2_3 Cash Flow Assumptions'!F53</f>
        <v>0</v>
      </c>
      <c r="W53" s="89">
        <f>$S53*'Y2_3 Cash Flow Assumptions'!G53</f>
        <v>0</v>
      </c>
      <c r="X53" s="89">
        <f>$S53*'Y2_3 Cash Flow Assumptions'!H53</f>
        <v>0</v>
      </c>
      <c r="Y53" s="89">
        <f>$S53*'Y2_3 Cash Flow Assumptions'!I53</f>
        <v>0</v>
      </c>
      <c r="Z53" s="89">
        <f>$S53*'Y2_3 Cash Flow Assumptions'!J53</f>
        <v>0</v>
      </c>
      <c r="AA53" s="89">
        <f>$S53*'Y2_3 Cash Flow Assumptions'!K53</f>
        <v>0</v>
      </c>
      <c r="AB53" s="89">
        <f>$S53*'Y2_3 Cash Flow Assumptions'!L53</f>
        <v>0</v>
      </c>
      <c r="AC53" s="89">
        <f>$S53*'Y2_3 Cash Flow Assumptions'!M53</f>
        <v>0</v>
      </c>
      <c r="AD53" s="89">
        <f>$S53*'Y2_3 Cash Flow Assumptions'!N53</f>
        <v>0</v>
      </c>
      <c r="AE53" s="89">
        <f>$S53*'Y2_3 Cash Flow Assumptions'!O53</f>
        <v>0</v>
      </c>
      <c r="AF53" s="89">
        <f>$S53*'Y2_3 Cash Flow Assumptions'!P53</f>
        <v>0</v>
      </c>
      <c r="AG53" s="103" t="str">
        <f t="shared" si="13"/>
        <v/>
      </c>
      <c r="AI53" s="89">
        <f>'Budget Summary'!E49</f>
        <v>0</v>
      </c>
      <c r="AJ53" s="89">
        <f>$AI53*'Y2_3 Cash Flow Assumptions'!D53</f>
        <v>0</v>
      </c>
      <c r="AK53" s="89">
        <f>$AI53*'Y2_3 Cash Flow Assumptions'!E53</f>
        <v>0</v>
      </c>
      <c r="AL53" s="89">
        <f>$AI53*'Y2_3 Cash Flow Assumptions'!F53</f>
        <v>0</v>
      </c>
      <c r="AM53" s="89">
        <f>$AI53*'Y2_3 Cash Flow Assumptions'!G53</f>
        <v>0</v>
      </c>
      <c r="AN53" s="89">
        <f>$AI53*'Y2_3 Cash Flow Assumptions'!H53</f>
        <v>0</v>
      </c>
      <c r="AO53" s="89">
        <f>$AI53*'Y2_3 Cash Flow Assumptions'!I53</f>
        <v>0</v>
      </c>
      <c r="AP53" s="89">
        <f>$AI53*'Y2_3 Cash Flow Assumptions'!J53</f>
        <v>0</v>
      </c>
      <c r="AQ53" s="89">
        <f>$AI53*'Y2_3 Cash Flow Assumptions'!K53</f>
        <v>0</v>
      </c>
      <c r="AR53" s="89">
        <f>$AI53*'Y2_3 Cash Flow Assumptions'!L53</f>
        <v>0</v>
      </c>
      <c r="AS53" s="89">
        <f>$AI53*'Y2_3 Cash Flow Assumptions'!M53</f>
        <v>0</v>
      </c>
      <c r="AT53" s="89">
        <f>$AI53*'Y2_3 Cash Flow Assumptions'!N53</f>
        <v>0</v>
      </c>
      <c r="AU53" s="89">
        <f>$AI53*'Y2_3 Cash Flow Assumptions'!O53</f>
        <v>0</v>
      </c>
      <c r="AV53" s="89">
        <f>$AI53*'Y2_3 Cash Flow Assumptions'!P53</f>
        <v>0</v>
      </c>
      <c r="AW53" s="83" t="str">
        <f t="shared" si="14"/>
        <v/>
      </c>
    </row>
    <row r="54" spans="1:49">
      <c r="A54" s="23"/>
      <c r="B54" s="24" t="s">
        <v>50</v>
      </c>
      <c r="C54" s="89">
        <f>'Budget Summary'!C50</f>
        <v>72520</v>
      </c>
      <c r="D54" s="89">
        <f>$C54*'Y1 Cash Flow Assumptions'!D54</f>
        <v>0</v>
      </c>
      <c r="E54" s="89">
        <f>$C54*'Y1 Cash Flow Assumptions'!E54</f>
        <v>3626</v>
      </c>
      <c r="F54" s="89">
        <f>$C54*'Y1 Cash Flow Assumptions'!F54</f>
        <v>7252</v>
      </c>
      <c r="G54" s="89">
        <f>$C54*'Y1 Cash Flow Assumptions'!G54</f>
        <v>7252</v>
      </c>
      <c r="H54" s="89">
        <f>$C54*'Y1 Cash Flow Assumptions'!H54</f>
        <v>7252</v>
      </c>
      <c r="I54" s="89">
        <f>$C54*'Y1 Cash Flow Assumptions'!I54</f>
        <v>7252</v>
      </c>
      <c r="J54" s="89">
        <f>$C54*'Y1 Cash Flow Assumptions'!J54</f>
        <v>7252</v>
      </c>
      <c r="K54" s="89">
        <f>$C54*'Y1 Cash Flow Assumptions'!K54</f>
        <v>7252</v>
      </c>
      <c r="L54" s="89">
        <f>$C54*'Y1 Cash Flow Assumptions'!L54</f>
        <v>7252</v>
      </c>
      <c r="M54" s="89">
        <f>$C54*'Y1 Cash Flow Assumptions'!M54</f>
        <v>7252</v>
      </c>
      <c r="N54" s="89">
        <f>$C54*'Y1 Cash Flow Assumptions'!N54</f>
        <v>7252</v>
      </c>
      <c r="O54" s="89">
        <f>$C54*'Y1 Cash Flow Assumptions'!O54</f>
        <v>3626</v>
      </c>
      <c r="P54" s="89">
        <f>$C54*'Y1 Cash Flow Assumptions'!P54</f>
        <v>0</v>
      </c>
      <c r="Q54" s="103" t="str">
        <f t="shared" si="12"/>
        <v/>
      </c>
      <c r="S54" s="89">
        <f>'Budget Summary'!D50</f>
        <v>74333</v>
      </c>
      <c r="T54" s="89">
        <f>$S54*'Y2_3 Cash Flow Assumptions'!D54</f>
        <v>0</v>
      </c>
      <c r="U54" s="89">
        <f>$S54*'Y2_3 Cash Flow Assumptions'!E54</f>
        <v>3716.65</v>
      </c>
      <c r="V54" s="89">
        <f>$S54*'Y2_3 Cash Flow Assumptions'!F54</f>
        <v>7433.3</v>
      </c>
      <c r="W54" s="89">
        <f>$S54*'Y2_3 Cash Flow Assumptions'!G54</f>
        <v>7433.3</v>
      </c>
      <c r="X54" s="89">
        <f>$S54*'Y2_3 Cash Flow Assumptions'!H54</f>
        <v>7433.3</v>
      </c>
      <c r="Y54" s="89">
        <f>$S54*'Y2_3 Cash Flow Assumptions'!I54</f>
        <v>7433.3</v>
      </c>
      <c r="Z54" s="89">
        <f>$S54*'Y2_3 Cash Flow Assumptions'!J54</f>
        <v>7433.3</v>
      </c>
      <c r="AA54" s="89">
        <f>$S54*'Y2_3 Cash Flow Assumptions'!K54</f>
        <v>7433.3</v>
      </c>
      <c r="AB54" s="89">
        <f>$S54*'Y2_3 Cash Flow Assumptions'!L54</f>
        <v>7433.3</v>
      </c>
      <c r="AC54" s="89">
        <f>$S54*'Y2_3 Cash Flow Assumptions'!M54</f>
        <v>7433.3</v>
      </c>
      <c r="AD54" s="89">
        <f>$S54*'Y2_3 Cash Flow Assumptions'!N54</f>
        <v>7433.3</v>
      </c>
      <c r="AE54" s="89">
        <f>$S54*'Y2_3 Cash Flow Assumptions'!O54</f>
        <v>3716.65</v>
      </c>
      <c r="AF54" s="89">
        <f>$S54*'Y2_3 Cash Flow Assumptions'!P54</f>
        <v>0</v>
      </c>
      <c r="AG54" s="103" t="str">
        <f t="shared" si="13"/>
        <v/>
      </c>
      <c r="AI54" s="89">
        <f>'Budget Summary'!E50</f>
        <v>76191.324999999997</v>
      </c>
      <c r="AJ54" s="89">
        <f>$AI54*'Y2_3 Cash Flow Assumptions'!D54</f>
        <v>0</v>
      </c>
      <c r="AK54" s="89">
        <f>$AI54*'Y2_3 Cash Flow Assumptions'!E54</f>
        <v>3809.5662499999999</v>
      </c>
      <c r="AL54" s="89">
        <f>$AI54*'Y2_3 Cash Flow Assumptions'!F54</f>
        <v>7619.1324999999997</v>
      </c>
      <c r="AM54" s="89">
        <f>$AI54*'Y2_3 Cash Flow Assumptions'!G54</f>
        <v>7619.1324999999997</v>
      </c>
      <c r="AN54" s="89">
        <f>$AI54*'Y2_3 Cash Flow Assumptions'!H54</f>
        <v>7619.1324999999997</v>
      </c>
      <c r="AO54" s="89">
        <f>$AI54*'Y2_3 Cash Flow Assumptions'!I54</f>
        <v>7619.1324999999997</v>
      </c>
      <c r="AP54" s="89">
        <f>$AI54*'Y2_3 Cash Flow Assumptions'!J54</f>
        <v>7619.1324999999997</v>
      </c>
      <c r="AQ54" s="89">
        <f>$AI54*'Y2_3 Cash Flow Assumptions'!K54</f>
        <v>7619.1324999999997</v>
      </c>
      <c r="AR54" s="89">
        <f>$AI54*'Y2_3 Cash Flow Assumptions'!L54</f>
        <v>7619.1324999999997</v>
      </c>
      <c r="AS54" s="89">
        <f>$AI54*'Y2_3 Cash Flow Assumptions'!M54</f>
        <v>7619.1324999999997</v>
      </c>
      <c r="AT54" s="89">
        <f>$AI54*'Y2_3 Cash Flow Assumptions'!N54</f>
        <v>7619.1324999999997</v>
      </c>
      <c r="AU54" s="89">
        <f>$AI54*'Y2_3 Cash Flow Assumptions'!O54</f>
        <v>3809.5662499999999</v>
      </c>
      <c r="AV54" s="89">
        <f>$AI54*'Y2_3 Cash Flow Assumptions'!P54</f>
        <v>0</v>
      </c>
      <c r="AW54" s="83" t="str">
        <f t="shared" si="14"/>
        <v/>
      </c>
    </row>
    <row r="55" spans="1:49">
      <c r="A55" s="23" t="s">
        <v>46</v>
      </c>
      <c r="C55" s="88">
        <f>SUM(C49:C54)</f>
        <v>358680</v>
      </c>
      <c r="D55" s="88">
        <f t="shared" ref="D55:P55" si="105">SUM(D49:D54)</f>
        <v>0</v>
      </c>
      <c r="E55" s="88">
        <f t="shared" si="105"/>
        <v>17934</v>
      </c>
      <c r="F55" s="88">
        <f t="shared" si="105"/>
        <v>35868</v>
      </c>
      <c r="G55" s="88">
        <f t="shared" si="105"/>
        <v>35868</v>
      </c>
      <c r="H55" s="88">
        <f t="shared" si="105"/>
        <v>35868</v>
      </c>
      <c r="I55" s="88">
        <f t="shared" si="105"/>
        <v>35868</v>
      </c>
      <c r="J55" s="88">
        <f t="shared" si="105"/>
        <v>35868</v>
      </c>
      <c r="K55" s="88">
        <f t="shared" si="105"/>
        <v>35868</v>
      </c>
      <c r="L55" s="88">
        <f t="shared" si="105"/>
        <v>35868</v>
      </c>
      <c r="M55" s="88">
        <f t="shared" si="105"/>
        <v>35868</v>
      </c>
      <c r="N55" s="88">
        <f t="shared" si="105"/>
        <v>35868</v>
      </c>
      <c r="O55" s="88">
        <f t="shared" si="105"/>
        <v>17934</v>
      </c>
      <c r="P55" s="88">
        <f t="shared" si="105"/>
        <v>0</v>
      </c>
      <c r="Q55" s="103" t="str">
        <f t="shared" si="12"/>
        <v/>
      </c>
      <c r="S55" s="88">
        <f>SUM(S49:S54)</f>
        <v>399790.99999999994</v>
      </c>
      <c r="T55" s="88">
        <f t="shared" ref="T55" si="106">SUM(T49:T54)</f>
        <v>0</v>
      </c>
      <c r="U55" s="88">
        <f t="shared" ref="U55" si="107">SUM(U49:U54)</f>
        <v>19989.55</v>
      </c>
      <c r="V55" s="88">
        <f t="shared" ref="V55" si="108">SUM(V49:V54)</f>
        <v>39979.1</v>
      </c>
      <c r="W55" s="88">
        <f t="shared" ref="W55" si="109">SUM(W49:W54)</f>
        <v>39979.1</v>
      </c>
      <c r="X55" s="88">
        <f t="shared" ref="X55" si="110">SUM(X49:X54)</f>
        <v>39979.1</v>
      </c>
      <c r="Y55" s="88">
        <f t="shared" ref="Y55" si="111">SUM(Y49:Y54)</f>
        <v>39979.1</v>
      </c>
      <c r="Z55" s="88">
        <f t="shared" ref="Z55" si="112">SUM(Z49:Z54)</f>
        <v>39979.1</v>
      </c>
      <c r="AA55" s="88">
        <f t="shared" ref="AA55" si="113">SUM(AA49:AA54)</f>
        <v>39979.1</v>
      </c>
      <c r="AB55" s="88">
        <f t="shared" ref="AB55" si="114">SUM(AB49:AB54)</f>
        <v>39979.1</v>
      </c>
      <c r="AC55" s="88">
        <f t="shared" ref="AC55" si="115">SUM(AC49:AC54)</f>
        <v>39979.1</v>
      </c>
      <c r="AD55" s="88">
        <f t="shared" ref="AD55" si="116">SUM(AD49:AD54)</f>
        <v>39979.1</v>
      </c>
      <c r="AE55" s="88">
        <f t="shared" ref="AE55" si="117">SUM(AE49:AE54)</f>
        <v>19989.55</v>
      </c>
      <c r="AF55" s="88">
        <f t="shared" ref="AF55" si="118">SUM(AF49:AF54)</f>
        <v>0</v>
      </c>
      <c r="AG55" s="103" t="str">
        <f t="shared" si="13"/>
        <v/>
      </c>
      <c r="AI55" s="88">
        <f>SUM(AI49:AI54)</f>
        <v>409785.77499999997</v>
      </c>
      <c r="AJ55" s="88">
        <f t="shared" ref="AJ55:AV55" si="119">SUM(AJ49:AJ54)</f>
        <v>0</v>
      </c>
      <c r="AK55" s="88">
        <f t="shared" si="119"/>
        <v>20489.288749999996</v>
      </c>
      <c r="AL55" s="88">
        <f t="shared" si="119"/>
        <v>40978.577499999992</v>
      </c>
      <c r="AM55" s="88">
        <f t="shared" si="119"/>
        <v>40978.577499999992</v>
      </c>
      <c r="AN55" s="88">
        <f t="shared" si="119"/>
        <v>40978.577499999992</v>
      </c>
      <c r="AO55" s="88">
        <f t="shared" si="119"/>
        <v>40978.577499999992</v>
      </c>
      <c r="AP55" s="88">
        <f t="shared" si="119"/>
        <v>40978.577499999992</v>
      </c>
      <c r="AQ55" s="88">
        <f t="shared" si="119"/>
        <v>40978.577499999992</v>
      </c>
      <c r="AR55" s="88">
        <f t="shared" si="119"/>
        <v>40978.577499999992</v>
      </c>
      <c r="AS55" s="88">
        <f t="shared" si="119"/>
        <v>40978.577499999992</v>
      </c>
      <c r="AT55" s="88">
        <f t="shared" si="119"/>
        <v>40978.577499999992</v>
      </c>
      <c r="AU55" s="88">
        <f t="shared" si="119"/>
        <v>20489.288749999996</v>
      </c>
      <c r="AV55" s="88">
        <f t="shared" si="119"/>
        <v>0</v>
      </c>
      <c r="AW55" s="83" t="str">
        <f t="shared" si="14"/>
        <v/>
      </c>
    </row>
    <row r="56" spans="1:49">
      <c r="A56" s="23" t="s">
        <v>51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103" t="str">
        <f t="shared" si="12"/>
        <v/>
      </c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103" t="str">
        <f t="shared" si="13"/>
        <v/>
      </c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3" t="str">
        <f t="shared" si="14"/>
        <v/>
      </c>
    </row>
    <row r="57" spans="1:49">
      <c r="A57" s="23"/>
      <c r="B57" s="24" t="s">
        <v>15</v>
      </c>
      <c r="C57" s="89">
        <f>'Budget Summary'!C53</f>
        <v>0</v>
      </c>
      <c r="D57" s="89">
        <f>$C57*'Y1 Cash Flow Assumptions'!D57</f>
        <v>0</v>
      </c>
      <c r="E57" s="89">
        <f>$C57*'Y1 Cash Flow Assumptions'!E57</f>
        <v>0</v>
      </c>
      <c r="F57" s="89">
        <f>$C57*'Y1 Cash Flow Assumptions'!F57</f>
        <v>0</v>
      </c>
      <c r="G57" s="89">
        <f>$C57*'Y1 Cash Flow Assumptions'!G57</f>
        <v>0</v>
      </c>
      <c r="H57" s="89">
        <f>$C57*'Y1 Cash Flow Assumptions'!H57</f>
        <v>0</v>
      </c>
      <c r="I57" s="89">
        <f>$C57*'Y1 Cash Flow Assumptions'!I57</f>
        <v>0</v>
      </c>
      <c r="J57" s="89">
        <f>$C57*'Y1 Cash Flow Assumptions'!J57</f>
        <v>0</v>
      </c>
      <c r="K57" s="89">
        <f>$C57*'Y1 Cash Flow Assumptions'!K57</f>
        <v>0</v>
      </c>
      <c r="L57" s="89">
        <f>$C57*'Y1 Cash Flow Assumptions'!L57</f>
        <v>0</v>
      </c>
      <c r="M57" s="89">
        <f>$C57*'Y1 Cash Flow Assumptions'!M57</f>
        <v>0</v>
      </c>
      <c r="N57" s="89">
        <f>$C57*'Y1 Cash Flow Assumptions'!N57</f>
        <v>0</v>
      </c>
      <c r="O57" s="89">
        <f>$C57*'Y1 Cash Flow Assumptions'!O57</f>
        <v>0</v>
      </c>
      <c r="P57" s="89">
        <f>$C57*'Y1 Cash Flow Assumptions'!P57</f>
        <v>0</v>
      </c>
      <c r="Q57" s="103" t="str">
        <f t="shared" si="12"/>
        <v/>
      </c>
      <c r="S57" s="89">
        <f>'Budget Summary'!D53</f>
        <v>0</v>
      </c>
      <c r="T57" s="89">
        <f>$S57*'Y2_3 Cash Flow Assumptions'!D57</f>
        <v>0</v>
      </c>
      <c r="U57" s="89">
        <f>$S57*'Y2_3 Cash Flow Assumptions'!E57</f>
        <v>0</v>
      </c>
      <c r="V57" s="89">
        <f>$S57*'Y2_3 Cash Flow Assumptions'!F57</f>
        <v>0</v>
      </c>
      <c r="W57" s="89">
        <f>$S57*'Y2_3 Cash Flow Assumptions'!G57</f>
        <v>0</v>
      </c>
      <c r="X57" s="89">
        <f>$S57*'Y2_3 Cash Flow Assumptions'!H57</f>
        <v>0</v>
      </c>
      <c r="Y57" s="89">
        <f>$S57*'Y2_3 Cash Flow Assumptions'!I57</f>
        <v>0</v>
      </c>
      <c r="Z57" s="89">
        <f>$S57*'Y2_3 Cash Flow Assumptions'!J57</f>
        <v>0</v>
      </c>
      <c r="AA57" s="89">
        <f>$S57*'Y2_3 Cash Flow Assumptions'!K57</f>
        <v>0</v>
      </c>
      <c r="AB57" s="89">
        <f>$S57*'Y2_3 Cash Flow Assumptions'!L57</f>
        <v>0</v>
      </c>
      <c r="AC57" s="89">
        <f>$S57*'Y2_3 Cash Flow Assumptions'!M57</f>
        <v>0</v>
      </c>
      <c r="AD57" s="89">
        <f>$S57*'Y2_3 Cash Flow Assumptions'!N57</f>
        <v>0</v>
      </c>
      <c r="AE57" s="89">
        <f>$S57*'Y2_3 Cash Flow Assumptions'!O57</f>
        <v>0</v>
      </c>
      <c r="AF57" s="89">
        <f>$S57*'Y2_3 Cash Flow Assumptions'!P57</f>
        <v>0</v>
      </c>
      <c r="AG57" s="103" t="str">
        <f t="shared" si="13"/>
        <v/>
      </c>
      <c r="AI57" s="89">
        <f>'Budget Summary'!E53</f>
        <v>0</v>
      </c>
      <c r="AJ57" s="89">
        <f>$AI57*'Y2_3 Cash Flow Assumptions'!D57</f>
        <v>0</v>
      </c>
      <c r="AK57" s="89">
        <f>$AI57*'Y2_3 Cash Flow Assumptions'!E57</f>
        <v>0</v>
      </c>
      <c r="AL57" s="89">
        <f>$AI57*'Y2_3 Cash Flow Assumptions'!F57</f>
        <v>0</v>
      </c>
      <c r="AM57" s="89">
        <f>$AI57*'Y2_3 Cash Flow Assumptions'!G57</f>
        <v>0</v>
      </c>
      <c r="AN57" s="89">
        <f>$AI57*'Y2_3 Cash Flow Assumptions'!H57</f>
        <v>0</v>
      </c>
      <c r="AO57" s="89">
        <f>$AI57*'Y2_3 Cash Flow Assumptions'!I57</f>
        <v>0</v>
      </c>
      <c r="AP57" s="89">
        <f>$AI57*'Y2_3 Cash Flow Assumptions'!J57</f>
        <v>0</v>
      </c>
      <c r="AQ57" s="89">
        <f>$AI57*'Y2_3 Cash Flow Assumptions'!K57</f>
        <v>0</v>
      </c>
      <c r="AR57" s="89">
        <f>$AI57*'Y2_3 Cash Flow Assumptions'!L57</f>
        <v>0</v>
      </c>
      <c r="AS57" s="89">
        <f>$AI57*'Y2_3 Cash Flow Assumptions'!M57</f>
        <v>0</v>
      </c>
      <c r="AT57" s="89">
        <f>$AI57*'Y2_3 Cash Flow Assumptions'!N57</f>
        <v>0</v>
      </c>
      <c r="AU57" s="89">
        <f>$AI57*'Y2_3 Cash Flow Assumptions'!O57</f>
        <v>0</v>
      </c>
      <c r="AV57" s="89">
        <f>$AI57*'Y2_3 Cash Flow Assumptions'!P57</f>
        <v>0</v>
      </c>
      <c r="AW57" s="83" t="str">
        <f t="shared" si="14"/>
        <v/>
      </c>
    </row>
    <row r="58" spans="1:49">
      <c r="A58" s="23"/>
      <c r="B58" s="24" t="s">
        <v>16</v>
      </c>
      <c r="C58" s="89">
        <f>'Budget Summary'!C54</f>
        <v>0</v>
      </c>
      <c r="D58" s="89">
        <f>$C58*'Y1 Cash Flow Assumptions'!D58</f>
        <v>0</v>
      </c>
      <c r="E58" s="89">
        <f>$C58*'Y1 Cash Flow Assumptions'!E58</f>
        <v>0</v>
      </c>
      <c r="F58" s="89">
        <f>$C58*'Y1 Cash Flow Assumptions'!F58</f>
        <v>0</v>
      </c>
      <c r="G58" s="89">
        <f>$C58*'Y1 Cash Flow Assumptions'!G58</f>
        <v>0</v>
      </c>
      <c r="H58" s="89">
        <f>$C58*'Y1 Cash Flow Assumptions'!H58</f>
        <v>0</v>
      </c>
      <c r="I58" s="89">
        <f>$C58*'Y1 Cash Flow Assumptions'!I58</f>
        <v>0</v>
      </c>
      <c r="J58" s="89">
        <f>$C58*'Y1 Cash Flow Assumptions'!J58</f>
        <v>0</v>
      </c>
      <c r="K58" s="89">
        <f>$C58*'Y1 Cash Flow Assumptions'!K58</f>
        <v>0</v>
      </c>
      <c r="L58" s="89">
        <f>$C58*'Y1 Cash Flow Assumptions'!L58</f>
        <v>0</v>
      </c>
      <c r="M58" s="89">
        <f>$C58*'Y1 Cash Flow Assumptions'!M58</f>
        <v>0</v>
      </c>
      <c r="N58" s="89">
        <f>$C58*'Y1 Cash Flow Assumptions'!N58</f>
        <v>0</v>
      </c>
      <c r="O58" s="89">
        <f>$C58*'Y1 Cash Flow Assumptions'!O58</f>
        <v>0</v>
      </c>
      <c r="P58" s="89">
        <f>$C58*'Y1 Cash Flow Assumptions'!P58</f>
        <v>0</v>
      </c>
      <c r="Q58" s="103" t="str">
        <f t="shared" si="12"/>
        <v/>
      </c>
      <c r="S58" s="89">
        <f>'Budget Summary'!D54</f>
        <v>0</v>
      </c>
      <c r="T58" s="89">
        <f>$S58*'Y2_3 Cash Flow Assumptions'!D58</f>
        <v>0</v>
      </c>
      <c r="U58" s="89">
        <f>$S58*'Y2_3 Cash Flow Assumptions'!E58</f>
        <v>0</v>
      </c>
      <c r="V58" s="89">
        <f>$S58*'Y2_3 Cash Flow Assumptions'!F58</f>
        <v>0</v>
      </c>
      <c r="W58" s="89">
        <f>$S58*'Y2_3 Cash Flow Assumptions'!G58</f>
        <v>0</v>
      </c>
      <c r="X58" s="89">
        <f>$S58*'Y2_3 Cash Flow Assumptions'!H58</f>
        <v>0</v>
      </c>
      <c r="Y58" s="89">
        <f>$S58*'Y2_3 Cash Flow Assumptions'!I58</f>
        <v>0</v>
      </c>
      <c r="Z58" s="89">
        <f>$S58*'Y2_3 Cash Flow Assumptions'!J58</f>
        <v>0</v>
      </c>
      <c r="AA58" s="89">
        <f>$S58*'Y2_3 Cash Flow Assumptions'!K58</f>
        <v>0</v>
      </c>
      <c r="AB58" s="89">
        <f>$S58*'Y2_3 Cash Flow Assumptions'!L58</f>
        <v>0</v>
      </c>
      <c r="AC58" s="89">
        <f>$S58*'Y2_3 Cash Flow Assumptions'!M58</f>
        <v>0</v>
      </c>
      <c r="AD58" s="89">
        <f>$S58*'Y2_3 Cash Flow Assumptions'!N58</f>
        <v>0</v>
      </c>
      <c r="AE58" s="89">
        <f>$S58*'Y2_3 Cash Flow Assumptions'!O58</f>
        <v>0</v>
      </c>
      <c r="AF58" s="89">
        <f>$S58*'Y2_3 Cash Flow Assumptions'!P58</f>
        <v>0</v>
      </c>
      <c r="AG58" s="103" t="str">
        <f t="shared" si="13"/>
        <v/>
      </c>
      <c r="AI58" s="89">
        <f>'Budget Summary'!E54</f>
        <v>0</v>
      </c>
      <c r="AJ58" s="89">
        <f>$AI58*'Y2_3 Cash Flow Assumptions'!D58</f>
        <v>0</v>
      </c>
      <c r="AK58" s="89">
        <f>$AI58*'Y2_3 Cash Flow Assumptions'!E58</f>
        <v>0</v>
      </c>
      <c r="AL58" s="89">
        <f>$AI58*'Y2_3 Cash Flow Assumptions'!F58</f>
        <v>0</v>
      </c>
      <c r="AM58" s="89">
        <f>$AI58*'Y2_3 Cash Flow Assumptions'!G58</f>
        <v>0</v>
      </c>
      <c r="AN58" s="89">
        <f>$AI58*'Y2_3 Cash Flow Assumptions'!H58</f>
        <v>0</v>
      </c>
      <c r="AO58" s="89">
        <f>$AI58*'Y2_3 Cash Flow Assumptions'!I58</f>
        <v>0</v>
      </c>
      <c r="AP58" s="89">
        <f>$AI58*'Y2_3 Cash Flow Assumptions'!J58</f>
        <v>0</v>
      </c>
      <c r="AQ58" s="89">
        <f>$AI58*'Y2_3 Cash Flow Assumptions'!K58</f>
        <v>0</v>
      </c>
      <c r="AR58" s="89">
        <f>$AI58*'Y2_3 Cash Flow Assumptions'!L58</f>
        <v>0</v>
      </c>
      <c r="AS58" s="89">
        <f>$AI58*'Y2_3 Cash Flow Assumptions'!M58</f>
        <v>0</v>
      </c>
      <c r="AT58" s="89">
        <f>$AI58*'Y2_3 Cash Flow Assumptions'!N58</f>
        <v>0</v>
      </c>
      <c r="AU58" s="89">
        <f>$AI58*'Y2_3 Cash Flow Assumptions'!O58</f>
        <v>0</v>
      </c>
      <c r="AV58" s="89">
        <f>$AI58*'Y2_3 Cash Flow Assumptions'!P58</f>
        <v>0</v>
      </c>
      <c r="AW58" s="83" t="str">
        <f t="shared" si="14"/>
        <v/>
      </c>
    </row>
    <row r="59" spans="1:49">
      <c r="A59" s="23"/>
      <c r="B59" s="24" t="s">
        <v>17</v>
      </c>
      <c r="C59" s="89">
        <f>'Budget Summary'!C55</f>
        <v>99684.096000000005</v>
      </c>
      <c r="D59" s="89">
        <f>$C59*'Y1 Cash Flow Assumptions'!D59</f>
        <v>0</v>
      </c>
      <c r="E59" s="89">
        <f>$C59*'Y1 Cash Flow Assumptions'!E59</f>
        <v>4984.2048000000004</v>
      </c>
      <c r="F59" s="89">
        <f>$C59*'Y1 Cash Flow Assumptions'!F59</f>
        <v>9968.4096000000009</v>
      </c>
      <c r="G59" s="89">
        <f>$C59*'Y1 Cash Flow Assumptions'!G59</f>
        <v>9968.4096000000009</v>
      </c>
      <c r="H59" s="89">
        <f>$C59*'Y1 Cash Flow Assumptions'!H59</f>
        <v>9968.4096000000009</v>
      </c>
      <c r="I59" s="89">
        <f>$C59*'Y1 Cash Flow Assumptions'!I59</f>
        <v>9968.4096000000009</v>
      </c>
      <c r="J59" s="89">
        <f>$C59*'Y1 Cash Flow Assumptions'!J59</f>
        <v>9968.4096000000009</v>
      </c>
      <c r="K59" s="89">
        <f>$C59*'Y1 Cash Flow Assumptions'!K59</f>
        <v>9968.4096000000009</v>
      </c>
      <c r="L59" s="89">
        <f>$C59*'Y1 Cash Flow Assumptions'!L59</f>
        <v>9968.4096000000009</v>
      </c>
      <c r="M59" s="89">
        <f>$C59*'Y1 Cash Flow Assumptions'!M59</f>
        <v>9968.4096000000009</v>
      </c>
      <c r="N59" s="89">
        <f>$C59*'Y1 Cash Flow Assumptions'!N59</f>
        <v>9968.4096000000009</v>
      </c>
      <c r="O59" s="89">
        <f>$C59*'Y1 Cash Flow Assumptions'!O59</f>
        <v>4984.2048000000004</v>
      </c>
      <c r="P59" s="89">
        <f>$C59*'Y1 Cash Flow Assumptions'!P59</f>
        <v>0</v>
      </c>
      <c r="Q59" s="103" t="str">
        <f t="shared" si="12"/>
        <v/>
      </c>
      <c r="S59" s="89">
        <f>'Budget Summary'!D55</f>
        <v>110888.66159999999</v>
      </c>
      <c r="T59" s="89">
        <f>$S59*'Y2_3 Cash Flow Assumptions'!D59</f>
        <v>0</v>
      </c>
      <c r="U59" s="89">
        <f>$S59*'Y2_3 Cash Flow Assumptions'!E59</f>
        <v>5544.4330799999998</v>
      </c>
      <c r="V59" s="89">
        <f>$S59*'Y2_3 Cash Flow Assumptions'!F59</f>
        <v>11088.86616</v>
      </c>
      <c r="W59" s="89">
        <f>$S59*'Y2_3 Cash Flow Assumptions'!G59</f>
        <v>11088.86616</v>
      </c>
      <c r="X59" s="89">
        <f>$S59*'Y2_3 Cash Flow Assumptions'!H59</f>
        <v>11088.86616</v>
      </c>
      <c r="Y59" s="89">
        <f>$S59*'Y2_3 Cash Flow Assumptions'!I59</f>
        <v>11088.86616</v>
      </c>
      <c r="Z59" s="89">
        <f>$S59*'Y2_3 Cash Flow Assumptions'!J59</f>
        <v>11088.86616</v>
      </c>
      <c r="AA59" s="89">
        <f>$S59*'Y2_3 Cash Flow Assumptions'!K59</f>
        <v>11088.86616</v>
      </c>
      <c r="AB59" s="89">
        <f>$S59*'Y2_3 Cash Flow Assumptions'!L59</f>
        <v>11088.86616</v>
      </c>
      <c r="AC59" s="89">
        <f>$S59*'Y2_3 Cash Flow Assumptions'!M59</f>
        <v>11088.86616</v>
      </c>
      <c r="AD59" s="89">
        <f>$S59*'Y2_3 Cash Flow Assumptions'!N59</f>
        <v>11088.86616</v>
      </c>
      <c r="AE59" s="89">
        <f>$S59*'Y2_3 Cash Flow Assumptions'!O59</f>
        <v>5544.4330799999998</v>
      </c>
      <c r="AF59" s="89">
        <f>$S59*'Y2_3 Cash Flow Assumptions'!P59</f>
        <v>0</v>
      </c>
      <c r="AG59" s="103" t="str">
        <f t="shared" si="13"/>
        <v/>
      </c>
      <c r="AI59" s="89">
        <f>'Budget Summary'!E55</f>
        <v>120549.17671999997</v>
      </c>
      <c r="AJ59" s="89">
        <f>$AI59*'Y2_3 Cash Flow Assumptions'!D59</f>
        <v>0</v>
      </c>
      <c r="AK59" s="89">
        <f>$AI59*'Y2_3 Cash Flow Assumptions'!E59</f>
        <v>6027.4588359999989</v>
      </c>
      <c r="AL59" s="89">
        <f>$AI59*'Y2_3 Cash Flow Assumptions'!F59</f>
        <v>12054.917671999998</v>
      </c>
      <c r="AM59" s="89">
        <f>$AI59*'Y2_3 Cash Flow Assumptions'!G59</f>
        <v>12054.917671999998</v>
      </c>
      <c r="AN59" s="89">
        <f>$AI59*'Y2_3 Cash Flow Assumptions'!H59</f>
        <v>12054.917671999998</v>
      </c>
      <c r="AO59" s="89">
        <f>$AI59*'Y2_3 Cash Flow Assumptions'!I59</f>
        <v>12054.917671999998</v>
      </c>
      <c r="AP59" s="89">
        <f>$AI59*'Y2_3 Cash Flow Assumptions'!J59</f>
        <v>12054.917671999998</v>
      </c>
      <c r="AQ59" s="89">
        <f>$AI59*'Y2_3 Cash Flow Assumptions'!K59</f>
        <v>12054.917671999998</v>
      </c>
      <c r="AR59" s="89">
        <f>$AI59*'Y2_3 Cash Flow Assumptions'!L59</f>
        <v>12054.917671999998</v>
      </c>
      <c r="AS59" s="89">
        <f>$AI59*'Y2_3 Cash Flow Assumptions'!M59</f>
        <v>12054.917671999998</v>
      </c>
      <c r="AT59" s="89">
        <f>$AI59*'Y2_3 Cash Flow Assumptions'!N59</f>
        <v>12054.917671999998</v>
      </c>
      <c r="AU59" s="89">
        <f>$AI59*'Y2_3 Cash Flow Assumptions'!O59</f>
        <v>6027.4588359999989</v>
      </c>
      <c r="AV59" s="89">
        <f>$AI59*'Y2_3 Cash Flow Assumptions'!P59</f>
        <v>0</v>
      </c>
      <c r="AW59" s="83" t="str">
        <f t="shared" si="14"/>
        <v/>
      </c>
    </row>
    <row r="60" spans="1:49">
      <c r="A60" s="23"/>
      <c r="B60" s="24" t="s">
        <v>55</v>
      </c>
      <c r="C60" s="89">
        <f>'Budget Summary'!C56</f>
        <v>23313.216</v>
      </c>
      <c r="D60" s="89">
        <f>$C60*'Y1 Cash Flow Assumptions'!D60</f>
        <v>0</v>
      </c>
      <c r="E60" s="89">
        <f>$C60*'Y1 Cash Flow Assumptions'!E60</f>
        <v>1165.6608000000001</v>
      </c>
      <c r="F60" s="89">
        <f>$C60*'Y1 Cash Flow Assumptions'!F60</f>
        <v>2331.3216000000002</v>
      </c>
      <c r="G60" s="89">
        <f>$C60*'Y1 Cash Flow Assumptions'!G60</f>
        <v>2331.3216000000002</v>
      </c>
      <c r="H60" s="89">
        <f>$C60*'Y1 Cash Flow Assumptions'!H60</f>
        <v>2331.3216000000002</v>
      </c>
      <c r="I60" s="89">
        <f>$C60*'Y1 Cash Flow Assumptions'!I60</f>
        <v>2331.3216000000002</v>
      </c>
      <c r="J60" s="89">
        <f>$C60*'Y1 Cash Flow Assumptions'!J60</f>
        <v>2331.3216000000002</v>
      </c>
      <c r="K60" s="89">
        <f>$C60*'Y1 Cash Flow Assumptions'!K60</f>
        <v>2331.3216000000002</v>
      </c>
      <c r="L60" s="89">
        <f>$C60*'Y1 Cash Flow Assumptions'!L60</f>
        <v>2331.3216000000002</v>
      </c>
      <c r="M60" s="89">
        <f>$C60*'Y1 Cash Flow Assumptions'!M60</f>
        <v>2331.3216000000002</v>
      </c>
      <c r="N60" s="89">
        <f>$C60*'Y1 Cash Flow Assumptions'!N60</f>
        <v>2331.3216000000002</v>
      </c>
      <c r="O60" s="89">
        <f>$C60*'Y1 Cash Flow Assumptions'!O60</f>
        <v>1165.6608000000001</v>
      </c>
      <c r="P60" s="89">
        <f>$C60*'Y1 Cash Flow Assumptions'!P60</f>
        <v>0</v>
      </c>
      <c r="Q60" s="103" t="str">
        <f t="shared" si="12"/>
        <v/>
      </c>
      <c r="S60" s="89">
        <f>'Budget Summary'!D56</f>
        <v>25933.638599999998</v>
      </c>
      <c r="T60" s="89">
        <f>$S60*'Y2_3 Cash Flow Assumptions'!D60</f>
        <v>0</v>
      </c>
      <c r="U60" s="89">
        <f>$S60*'Y2_3 Cash Flow Assumptions'!E60</f>
        <v>1296.68193</v>
      </c>
      <c r="V60" s="89">
        <f>$S60*'Y2_3 Cash Flow Assumptions'!F60</f>
        <v>2593.3638599999999</v>
      </c>
      <c r="W60" s="89">
        <f>$S60*'Y2_3 Cash Flow Assumptions'!G60</f>
        <v>2593.3638599999999</v>
      </c>
      <c r="X60" s="89">
        <f>$S60*'Y2_3 Cash Flow Assumptions'!H60</f>
        <v>2593.3638599999999</v>
      </c>
      <c r="Y60" s="89">
        <f>$S60*'Y2_3 Cash Flow Assumptions'!I60</f>
        <v>2593.3638599999999</v>
      </c>
      <c r="Z60" s="89">
        <f>$S60*'Y2_3 Cash Flow Assumptions'!J60</f>
        <v>2593.3638599999999</v>
      </c>
      <c r="AA60" s="89">
        <f>$S60*'Y2_3 Cash Flow Assumptions'!K60</f>
        <v>2593.3638599999999</v>
      </c>
      <c r="AB60" s="89">
        <f>$S60*'Y2_3 Cash Flow Assumptions'!L60</f>
        <v>2593.3638599999999</v>
      </c>
      <c r="AC60" s="89">
        <f>$S60*'Y2_3 Cash Flow Assumptions'!M60</f>
        <v>2593.3638599999999</v>
      </c>
      <c r="AD60" s="89">
        <f>$S60*'Y2_3 Cash Flow Assumptions'!N60</f>
        <v>2593.3638599999999</v>
      </c>
      <c r="AE60" s="89">
        <f>$S60*'Y2_3 Cash Flow Assumptions'!O60</f>
        <v>1296.68193</v>
      </c>
      <c r="AF60" s="89">
        <f>$S60*'Y2_3 Cash Flow Assumptions'!P60</f>
        <v>0</v>
      </c>
      <c r="AG60" s="103" t="str">
        <f t="shared" si="13"/>
        <v/>
      </c>
      <c r="AI60" s="89">
        <f>'Budget Summary'!E56</f>
        <v>28192.952619999996</v>
      </c>
      <c r="AJ60" s="89">
        <f>$AI60*'Y2_3 Cash Flow Assumptions'!D60</f>
        <v>0</v>
      </c>
      <c r="AK60" s="89">
        <f>$AI60*'Y2_3 Cash Flow Assumptions'!E60</f>
        <v>1409.6476309999998</v>
      </c>
      <c r="AL60" s="89">
        <f>$AI60*'Y2_3 Cash Flow Assumptions'!F60</f>
        <v>2819.2952619999996</v>
      </c>
      <c r="AM60" s="89">
        <f>$AI60*'Y2_3 Cash Flow Assumptions'!G60</f>
        <v>2819.2952619999996</v>
      </c>
      <c r="AN60" s="89">
        <f>$AI60*'Y2_3 Cash Flow Assumptions'!H60</f>
        <v>2819.2952619999996</v>
      </c>
      <c r="AO60" s="89">
        <f>$AI60*'Y2_3 Cash Flow Assumptions'!I60</f>
        <v>2819.2952619999996</v>
      </c>
      <c r="AP60" s="89">
        <f>$AI60*'Y2_3 Cash Flow Assumptions'!J60</f>
        <v>2819.2952619999996</v>
      </c>
      <c r="AQ60" s="89">
        <f>$AI60*'Y2_3 Cash Flow Assumptions'!K60</f>
        <v>2819.2952619999996</v>
      </c>
      <c r="AR60" s="89">
        <f>$AI60*'Y2_3 Cash Flow Assumptions'!L60</f>
        <v>2819.2952619999996</v>
      </c>
      <c r="AS60" s="89">
        <f>$AI60*'Y2_3 Cash Flow Assumptions'!M60</f>
        <v>2819.2952619999996</v>
      </c>
      <c r="AT60" s="89">
        <f>$AI60*'Y2_3 Cash Flow Assumptions'!N60</f>
        <v>2819.2952619999996</v>
      </c>
      <c r="AU60" s="89">
        <f>$AI60*'Y2_3 Cash Flow Assumptions'!O60</f>
        <v>1409.6476309999998</v>
      </c>
      <c r="AV60" s="89">
        <f>$AI60*'Y2_3 Cash Flow Assumptions'!P60</f>
        <v>0</v>
      </c>
      <c r="AW60" s="83" t="str">
        <f t="shared" si="14"/>
        <v/>
      </c>
    </row>
    <row r="61" spans="1:49">
      <c r="A61" s="23"/>
      <c r="B61" s="24" t="s">
        <v>56</v>
      </c>
      <c r="C61" s="89">
        <f>'Budget Summary'!C57</f>
        <v>186000</v>
      </c>
      <c r="D61" s="89">
        <f>$C61*'Y1 Cash Flow Assumptions'!D61</f>
        <v>15500</v>
      </c>
      <c r="E61" s="89">
        <f>$C61*'Y1 Cash Flow Assumptions'!E61</f>
        <v>15500</v>
      </c>
      <c r="F61" s="89">
        <f>$C61*'Y1 Cash Flow Assumptions'!F61</f>
        <v>15500</v>
      </c>
      <c r="G61" s="89">
        <f>$C61*'Y1 Cash Flow Assumptions'!G61</f>
        <v>15500</v>
      </c>
      <c r="H61" s="89">
        <f>$C61*'Y1 Cash Flow Assumptions'!H61</f>
        <v>15500</v>
      </c>
      <c r="I61" s="89">
        <f>$C61*'Y1 Cash Flow Assumptions'!I61</f>
        <v>15500</v>
      </c>
      <c r="J61" s="89">
        <f>$C61*'Y1 Cash Flow Assumptions'!J61</f>
        <v>15500</v>
      </c>
      <c r="K61" s="89">
        <f>$C61*'Y1 Cash Flow Assumptions'!K61</f>
        <v>15500</v>
      </c>
      <c r="L61" s="89">
        <f>$C61*'Y1 Cash Flow Assumptions'!L61</f>
        <v>15500</v>
      </c>
      <c r="M61" s="89">
        <f>$C61*'Y1 Cash Flow Assumptions'!M61</f>
        <v>15500</v>
      </c>
      <c r="N61" s="89">
        <f>$C61*'Y1 Cash Flow Assumptions'!N61</f>
        <v>15500</v>
      </c>
      <c r="O61" s="89">
        <f>$C61*'Y1 Cash Flow Assumptions'!O61</f>
        <v>15500</v>
      </c>
      <c r="P61" s="89">
        <f>$C61*'Y1 Cash Flow Assumptions'!P61</f>
        <v>0</v>
      </c>
      <c r="Q61" s="103" t="str">
        <f t="shared" si="12"/>
        <v/>
      </c>
      <c r="S61" s="89">
        <f>'Budget Summary'!D57</f>
        <v>224400.00000000003</v>
      </c>
      <c r="T61" s="89">
        <f>$S61*'Y2_3 Cash Flow Assumptions'!D61</f>
        <v>18700</v>
      </c>
      <c r="U61" s="89">
        <f>$S61*'Y2_3 Cash Flow Assumptions'!E61</f>
        <v>18700</v>
      </c>
      <c r="V61" s="89">
        <f>$S61*'Y2_3 Cash Flow Assumptions'!F61</f>
        <v>18700</v>
      </c>
      <c r="W61" s="89">
        <f>$S61*'Y2_3 Cash Flow Assumptions'!G61</f>
        <v>18700</v>
      </c>
      <c r="X61" s="89">
        <f>$S61*'Y2_3 Cash Flow Assumptions'!H61</f>
        <v>18700</v>
      </c>
      <c r="Y61" s="89">
        <f>$S61*'Y2_3 Cash Flow Assumptions'!I61</f>
        <v>18700</v>
      </c>
      <c r="Z61" s="89">
        <f>$S61*'Y2_3 Cash Flow Assumptions'!J61</f>
        <v>18700</v>
      </c>
      <c r="AA61" s="89">
        <f>$S61*'Y2_3 Cash Flow Assumptions'!K61</f>
        <v>18700</v>
      </c>
      <c r="AB61" s="89">
        <f>$S61*'Y2_3 Cash Flow Assumptions'!L61</f>
        <v>18700</v>
      </c>
      <c r="AC61" s="89">
        <f>$S61*'Y2_3 Cash Flow Assumptions'!M61</f>
        <v>18700</v>
      </c>
      <c r="AD61" s="89">
        <f>$S61*'Y2_3 Cash Flow Assumptions'!N61</f>
        <v>18700</v>
      </c>
      <c r="AE61" s="89">
        <f>$S61*'Y2_3 Cash Flow Assumptions'!O61</f>
        <v>18700</v>
      </c>
      <c r="AF61" s="89">
        <f>$S61*'Y2_3 Cash Flow Assumptions'!P61</f>
        <v>0</v>
      </c>
      <c r="AG61" s="103" t="str">
        <f t="shared" si="13"/>
        <v/>
      </c>
      <c r="AI61" s="89">
        <f>'Budget Summary'!E57</f>
        <v>261360.00000000003</v>
      </c>
      <c r="AJ61" s="89">
        <f>$AI61*'Y2_3 Cash Flow Assumptions'!D61</f>
        <v>21780</v>
      </c>
      <c r="AK61" s="89">
        <f>$AI61*'Y2_3 Cash Flow Assumptions'!E61</f>
        <v>21780</v>
      </c>
      <c r="AL61" s="89">
        <f>$AI61*'Y2_3 Cash Flow Assumptions'!F61</f>
        <v>21780</v>
      </c>
      <c r="AM61" s="89">
        <f>$AI61*'Y2_3 Cash Flow Assumptions'!G61</f>
        <v>21780</v>
      </c>
      <c r="AN61" s="89">
        <f>$AI61*'Y2_3 Cash Flow Assumptions'!H61</f>
        <v>21780</v>
      </c>
      <c r="AO61" s="89">
        <f>$AI61*'Y2_3 Cash Flow Assumptions'!I61</f>
        <v>21780</v>
      </c>
      <c r="AP61" s="89">
        <f>$AI61*'Y2_3 Cash Flow Assumptions'!J61</f>
        <v>21780</v>
      </c>
      <c r="AQ61" s="89">
        <f>$AI61*'Y2_3 Cash Flow Assumptions'!K61</f>
        <v>21780</v>
      </c>
      <c r="AR61" s="89">
        <f>$AI61*'Y2_3 Cash Flow Assumptions'!L61</f>
        <v>21780</v>
      </c>
      <c r="AS61" s="89">
        <f>$AI61*'Y2_3 Cash Flow Assumptions'!M61</f>
        <v>21780</v>
      </c>
      <c r="AT61" s="89">
        <f>$AI61*'Y2_3 Cash Flow Assumptions'!N61</f>
        <v>21780</v>
      </c>
      <c r="AU61" s="89">
        <f>$AI61*'Y2_3 Cash Flow Assumptions'!O61</f>
        <v>21780</v>
      </c>
      <c r="AV61" s="89">
        <f>$AI61*'Y2_3 Cash Flow Assumptions'!P61</f>
        <v>0</v>
      </c>
      <c r="AW61" s="83" t="str">
        <f t="shared" si="14"/>
        <v/>
      </c>
    </row>
    <row r="62" spans="1:49">
      <c r="A62" s="23"/>
      <c r="B62" s="24" t="s">
        <v>57</v>
      </c>
      <c r="C62" s="89">
        <f>'Budget Summary'!C58</f>
        <v>803.904</v>
      </c>
      <c r="D62" s="89">
        <f>$C62*'Y1 Cash Flow Assumptions'!D62</f>
        <v>0</v>
      </c>
      <c r="E62" s="89">
        <f>$C62*'Y1 Cash Flow Assumptions'!E62</f>
        <v>40.1952</v>
      </c>
      <c r="F62" s="89">
        <f>$C62*'Y1 Cash Flow Assumptions'!F62</f>
        <v>80.3904</v>
      </c>
      <c r="G62" s="89">
        <f>$C62*'Y1 Cash Flow Assumptions'!G62</f>
        <v>80.3904</v>
      </c>
      <c r="H62" s="89">
        <f>$C62*'Y1 Cash Flow Assumptions'!H62</f>
        <v>80.3904</v>
      </c>
      <c r="I62" s="89">
        <f>$C62*'Y1 Cash Flow Assumptions'!I62</f>
        <v>80.3904</v>
      </c>
      <c r="J62" s="89">
        <f>$C62*'Y1 Cash Flow Assumptions'!J62</f>
        <v>80.3904</v>
      </c>
      <c r="K62" s="89">
        <f>$C62*'Y1 Cash Flow Assumptions'!K62</f>
        <v>80.3904</v>
      </c>
      <c r="L62" s="89">
        <f>$C62*'Y1 Cash Flow Assumptions'!L62</f>
        <v>80.3904</v>
      </c>
      <c r="M62" s="89">
        <f>$C62*'Y1 Cash Flow Assumptions'!M62</f>
        <v>80.3904</v>
      </c>
      <c r="N62" s="89">
        <f>$C62*'Y1 Cash Flow Assumptions'!N62</f>
        <v>80.3904</v>
      </c>
      <c r="O62" s="89">
        <f>$C62*'Y1 Cash Flow Assumptions'!O62</f>
        <v>40.1952</v>
      </c>
      <c r="P62" s="89">
        <f>$C62*'Y1 Cash Flow Assumptions'!P62</f>
        <v>0</v>
      </c>
      <c r="Q62" s="103" t="str">
        <f t="shared" si="12"/>
        <v/>
      </c>
      <c r="S62" s="89">
        <f>'Budget Summary'!D58</f>
        <v>894.26339999999993</v>
      </c>
      <c r="T62" s="89">
        <f>$S62*'Y2_3 Cash Flow Assumptions'!D62</f>
        <v>0</v>
      </c>
      <c r="U62" s="89">
        <f>$S62*'Y2_3 Cash Flow Assumptions'!E62</f>
        <v>44.713169999999998</v>
      </c>
      <c r="V62" s="89">
        <f>$S62*'Y2_3 Cash Flow Assumptions'!F62</f>
        <v>89.426339999999996</v>
      </c>
      <c r="W62" s="89">
        <f>$S62*'Y2_3 Cash Flow Assumptions'!G62</f>
        <v>89.426339999999996</v>
      </c>
      <c r="X62" s="89">
        <f>$S62*'Y2_3 Cash Flow Assumptions'!H62</f>
        <v>89.426339999999996</v>
      </c>
      <c r="Y62" s="89">
        <f>$S62*'Y2_3 Cash Flow Assumptions'!I62</f>
        <v>89.426339999999996</v>
      </c>
      <c r="Z62" s="89">
        <f>$S62*'Y2_3 Cash Flow Assumptions'!J62</f>
        <v>89.426339999999996</v>
      </c>
      <c r="AA62" s="89">
        <f>$S62*'Y2_3 Cash Flow Assumptions'!K62</f>
        <v>89.426339999999996</v>
      </c>
      <c r="AB62" s="89">
        <f>$S62*'Y2_3 Cash Flow Assumptions'!L62</f>
        <v>89.426339999999996</v>
      </c>
      <c r="AC62" s="89">
        <f>$S62*'Y2_3 Cash Flow Assumptions'!M62</f>
        <v>89.426339999999996</v>
      </c>
      <c r="AD62" s="89">
        <f>$S62*'Y2_3 Cash Flow Assumptions'!N62</f>
        <v>89.426339999999996</v>
      </c>
      <c r="AE62" s="89">
        <f>$S62*'Y2_3 Cash Flow Assumptions'!O62</f>
        <v>44.713169999999998</v>
      </c>
      <c r="AF62" s="89">
        <f>$S62*'Y2_3 Cash Flow Assumptions'!P62</f>
        <v>0</v>
      </c>
      <c r="AG62" s="103" t="str">
        <f t="shared" si="13"/>
        <v/>
      </c>
      <c r="AI62" s="89">
        <f>'Budget Summary'!E58</f>
        <v>972.17077999999981</v>
      </c>
      <c r="AJ62" s="89">
        <f>$AI62*'Y2_3 Cash Flow Assumptions'!D62</f>
        <v>0</v>
      </c>
      <c r="AK62" s="89">
        <f>$AI62*'Y2_3 Cash Flow Assumptions'!E62</f>
        <v>48.608538999999993</v>
      </c>
      <c r="AL62" s="89">
        <f>$AI62*'Y2_3 Cash Flow Assumptions'!F62</f>
        <v>97.217077999999987</v>
      </c>
      <c r="AM62" s="89">
        <f>$AI62*'Y2_3 Cash Flow Assumptions'!G62</f>
        <v>97.217077999999987</v>
      </c>
      <c r="AN62" s="89">
        <f>$AI62*'Y2_3 Cash Flow Assumptions'!H62</f>
        <v>97.217077999999987</v>
      </c>
      <c r="AO62" s="89">
        <f>$AI62*'Y2_3 Cash Flow Assumptions'!I62</f>
        <v>97.217077999999987</v>
      </c>
      <c r="AP62" s="89">
        <f>$AI62*'Y2_3 Cash Flow Assumptions'!J62</f>
        <v>97.217077999999987</v>
      </c>
      <c r="AQ62" s="89">
        <f>$AI62*'Y2_3 Cash Flow Assumptions'!K62</f>
        <v>97.217077999999987</v>
      </c>
      <c r="AR62" s="89">
        <f>$AI62*'Y2_3 Cash Flow Assumptions'!L62</f>
        <v>97.217077999999987</v>
      </c>
      <c r="AS62" s="89">
        <f>$AI62*'Y2_3 Cash Flow Assumptions'!M62</f>
        <v>97.217077999999987</v>
      </c>
      <c r="AT62" s="89">
        <f>$AI62*'Y2_3 Cash Flow Assumptions'!N62</f>
        <v>97.217077999999987</v>
      </c>
      <c r="AU62" s="89">
        <f>$AI62*'Y2_3 Cash Flow Assumptions'!O62</f>
        <v>48.608538999999993</v>
      </c>
      <c r="AV62" s="89">
        <f>$AI62*'Y2_3 Cash Flow Assumptions'!P62</f>
        <v>0</v>
      </c>
      <c r="AW62" s="83" t="str">
        <f t="shared" si="14"/>
        <v/>
      </c>
    </row>
    <row r="63" spans="1:49">
      <c r="A63" s="23"/>
      <c r="B63" s="24" t="s">
        <v>18</v>
      </c>
      <c r="C63" s="89">
        <f>'Budget Summary'!C59</f>
        <v>33763.968000000001</v>
      </c>
      <c r="D63" s="89">
        <f>$C63*'Y1 Cash Flow Assumptions'!D63</f>
        <v>10129.190399999999</v>
      </c>
      <c r="E63" s="89">
        <f>$C63*'Y1 Cash Flow Assumptions'!E63</f>
        <v>2148.6161454545454</v>
      </c>
      <c r="F63" s="89">
        <f>$C63*'Y1 Cash Flow Assumptions'!F63</f>
        <v>2148.6161454545454</v>
      </c>
      <c r="G63" s="89">
        <f>$C63*'Y1 Cash Flow Assumptions'!G63</f>
        <v>2148.6161454545454</v>
      </c>
      <c r="H63" s="89">
        <f>$C63*'Y1 Cash Flow Assumptions'!H63</f>
        <v>2148.6161454545454</v>
      </c>
      <c r="I63" s="89">
        <f>$C63*'Y1 Cash Flow Assumptions'!I63</f>
        <v>2148.6161454545454</v>
      </c>
      <c r="J63" s="89">
        <f>$C63*'Y1 Cash Flow Assumptions'!J63</f>
        <v>2148.6161454545454</v>
      </c>
      <c r="K63" s="89">
        <f>$C63*'Y1 Cash Flow Assumptions'!K63</f>
        <v>2148.6161454545454</v>
      </c>
      <c r="L63" s="89">
        <f>$C63*'Y1 Cash Flow Assumptions'!L63</f>
        <v>2148.6161454545454</v>
      </c>
      <c r="M63" s="89">
        <f>$C63*'Y1 Cash Flow Assumptions'!M63</f>
        <v>2148.6161454545454</v>
      </c>
      <c r="N63" s="89">
        <f>$C63*'Y1 Cash Flow Assumptions'!N63</f>
        <v>2148.6161454545454</v>
      </c>
      <c r="O63" s="89">
        <f>$C63*'Y1 Cash Flow Assumptions'!O63</f>
        <v>2148.6161454545454</v>
      </c>
      <c r="P63" s="89">
        <f>$C63*'Y1 Cash Flow Assumptions'!P63</f>
        <v>0</v>
      </c>
      <c r="Q63" s="103" t="str">
        <f t="shared" si="12"/>
        <v/>
      </c>
      <c r="S63" s="89">
        <f>'Budget Summary'!D59</f>
        <v>39347.589599999992</v>
      </c>
      <c r="T63" s="89">
        <f>$S63*'Y2_3 Cash Flow Assumptions'!D63</f>
        <v>11804.276879999998</v>
      </c>
      <c r="U63" s="89">
        <f>$S63*'Y2_3 Cash Flow Assumptions'!E63</f>
        <v>2503.937519999999</v>
      </c>
      <c r="V63" s="89">
        <f>$S63*'Y2_3 Cash Flow Assumptions'!F63</f>
        <v>2503.937519999999</v>
      </c>
      <c r="W63" s="89">
        <f>$S63*'Y2_3 Cash Flow Assumptions'!G63</f>
        <v>2503.937519999999</v>
      </c>
      <c r="X63" s="89">
        <f>$S63*'Y2_3 Cash Flow Assumptions'!H63</f>
        <v>2503.937519999999</v>
      </c>
      <c r="Y63" s="89">
        <f>$S63*'Y2_3 Cash Flow Assumptions'!I63</f>
        <v>2503.937519999999</v>
      </c>
      <c r="Z63" s="89">
        <f>$S63*'Y2_3 Cash Flow Assumptions'!J63</f>
        <v>2503.937519999999</v>
      </c>
      <c r="AA63" s="89">
        <f>$S63*'Y2_3 Cash Flow Assumptions'!K63</f>
        <v>2503.937519999999</v>
      </c>
      <c r="AB63" s="89">
        <f>$S63*'Y2_3 Cash Flow Assumptions'!L63</f>
        <v>2503.937519999999</v>
      </c>
      <c r="AC63" s="89">
        <f>$S63*'Y2_3 Cash Flow Assumptions'!M63</f>
        <v>2503.937519999999</v>
      </c>
      <c r="AD63" s="89">
        <f>$S63*'Y2_3 Cash Flow Assumptions'!N63</f>
        <v>2503.937519999999</v>
      </c>
      <c r="AE63" s="89">
        <f>$S63*'Y2_3 Cash Flow Assumptions'!O63</f>
        <v>2503.937519999999</v>
      </c>
      <c r="AF63" s="89">
        <f>$S63*'Y2_3 Cash Flow Assumptions'!P63</f>
        <v>0</v>
      </c>
      <c r="AG63" s="103" t="str">
        <f t="shared" si="13"/>
        <v/>
      </c>
      <c r="AI63" s="89">
        <f>'Budget Summary'!E59</f>
        <v>44719.855879999988</v>
      </c>
      <c r="AJ63" s="89">
        <f>$AI63*'Y2_3 Cash Flow Assumptions'!D63</f>
        <v>13415.956763999997</v>
      </c>
      <c r="AK63" s="89">
        <f>$AI63*'Y2_3 Cash Flow Assumptions'!E63</f>
        <v>2845.8090105454535</v>
      </c>
      <c r="AL63" s="89">
        <f>$AI63*'Y2_3 Cash Flow Assumptions'!F63</f>
        <v>2845.8090105454535</v>
      </c>
      <c r="AM63" s="89">
        <f>$AI63*'Y2_3 Cash Flow Assumptions'!G63</f>
        <v>2845.8090105454535</v>
      </c>
      <c r="AN63" s="89">
        <f>$AI63*'Y2_3 Cash Flow Assumptions'!H63</f>
        <v>2845.8090105454535</v>
      </c>
      <c r="AO63" s="89">
        <f>$AI63*'Y2_3 Cash Flow Assumptions'!I63</f>
        <v>2845.8090105454535</v>
      </c>
      <c r="AP63" s="89">
        <f>$AI63*'Y2_3 Cash Flow Assumptions'!J63</f>
        <v>2845.8090105454535</v>
      </c>
      <c r="AQ63" s="89">
        <f>$AI63*'Y2_3 Cash Flow Assumptions'!K63</f>
        <v>2845.8090105454535</v>
      </c>
      <c r="AR63" s="89">
        <f>$AI63*'Y2_3 Cash Flow Assumptions'!L63</f>
        <v>2845.8090105454535</v>
      </c>
      <c r="AS63" s="89">
        <f>$AI63*'Y2_3 Cash Flow Assumptions'!M63</f>
        <v>2845.8090105454535</v>
      </c>
      <c r="AT63" s="89">
        <f>$AI63*'Y2_3 Cash Flow Assumptions'!N63</f>
        <v>2845.8090105454535</v>
      </c>
      <c r="AU63" s="89">
        <f>$AI63*'Y2_3 Cash Flow Assumptions'!O63</f>
        <v>2845.8090105454535</v>
      </c>
      <c r="AV63" s="89">
        <f>$AI63*'Y2_3 Cash Flow Assumptions'!P63</f>
        <v>0</v>
      </c>
      <c r="AW63" s="83" t="str">
        <f t="shared" si="14"/>
        <v/>
      </c>
    </row>
    <row r="64" spans="1:49">
      <c r="A64" s="23"/>
      <c r="B64" s="24" t="s">
        <v>19</v>
      </c>
      <c r="C64" s="89">
        <f>'Budget Summary'!C60</f>
        <v>80390.399999999994</v>
      </c>
      <c r="D64" s="89">
        <f>$C64*'Y1 Cash Flow Assumptions'!D64</f>
        <v>0</v>
      </c>
      <c r="E64" s="89">
        <f>$C64*'Y1 Cash Flow Assumptions'!E64</f>
        <v>4019.52</v>
      </c>
      <c r="F64" s="89">
        <f>$C64*'Y1 Cash Flow Assumptions'!F64</f>
        <v>8039.04</v>
      </c>
      <c r="G64" s="89">
        <f>$C64*'Y1 Cash Flow Assumptions'!G64</f>
        <v>8039.04</v>
      </c>
      <c r="H64" s="89">
        <f>$C64*'Y1 Cash Flow Assumptions'!H64</f>
        <v>8039.04</v>
      </c>
      <c r="I64" s="89">
        <f>$C64*'Y1 Cash Flow Assumptions'!I64</f>
        <v>8039.04</v>
      </c>
      <c r="J64" s="89">
        <f>$C64*'Y1 Cash Flow Assumptions'!J64</f>
        <v>8039.04</v>
      </c>
      <c r="K64" s="89">
        <f>$C64*'Y1 Cash Flow Assumptions'!K64</f>
        <v>8039.04</v>
      </c>
      <c r="L64" s="89">
        <f>$C64*'Y1 Cash Flow Assumptions'!L64</f>
        <v>8039.04</v>
      </c>
      <c r="M64" s="89">
        <f>$C64*'Y1 Cash Flow Assumptions'!M64</f>
        <v>8039.04</v>
      </c>
      <c r="N64" s="89">
        <f>$C64*'Y1 Cash Flow Assumptions'!N64</f>
        <v>8039.04</v>
      </c>
      <c r="O64" s="89">
        <f>$C64*'Y1 Cash Flow Assumptions'!O64</f>
        <v>4019.52</v>
      </c>
      <c r="P64" s="89">
        <f>$C64*'Y1 Cash Flow Assumptions'!P64</f>
        <v>0</v>
      </c>
      <c r="Q64" s="103" t="str">
        <f t="shared" si="12"/>
        <v/>
      </c>
      <c r="S64" s="89">
        <f>'Budget Summary'!D60</f>
        <v>89426.339999999982</v>
      </c>
      <c r="T64" s="89">
        <f>$S64*'Y2_3 Cash Flow Assumptions'!D64</f>
        <v>0</v>
      </c>
      <c r="U64" s="89">
        <f>$S64*'Y2_3 Cash Flow Assumptions'!E64</f>
        <v>4471.3169999999991</v>
      </c>
      <c r="V64" s="89">
        <f>$S64*'Y2_3 Cash Flow Assumptions'!F64</f>
        <v>8942.6339999999982</v>
      </c>
      <c r="W64" s="89">
        <f>$S64*'Y2_3 Cash Flow Assumptions'!G64</f>
        <v>8942.6339999999982</v>
      </c>
      <c r="X64" s="89">
        <f>$S64*'Y2_3 Cash Flow Assumptions'!H64</f>
        <v>8942.6339999999982</v>
      </c>
      <c r="Y64" s="89">
        <f>$S64*'Y2_3 Cash Flow Assumptions'!I64</f>
        <v>8942.6339999999982</v>
      </c>
      <c r="Z64" s="89">
        <f>$S64*'Y2_3 Cash Flow Assumptions'!J64</f>
        <v>8942.6339999999982</v>
      </c>
      <c r="AA64" s="89">
        <f>$S64*'Y2_3 Cash Flow Assumptions'!K64</f>
        <v>8942.6339999999982</v>
      </c>
      <c r="AB64" s="89">
        <f>$S64*'Y2_3 Cash Flow Assumptions'!L64</f>
        <v>8942.6339999999982</v>
      </c>
      <c r="AC64" s="89">
        <f>$S64*'Y2_3 Cash Flow Assumptions'!M64</f>
        <v>8942.6339999999982</v>
      </c>
      <c r="AD64" s="89">
        <f>$S64*'Y2_3 Cash Flow Assumptions'!N64</f>
        <v>8942.6339999999982</v>
      </c>
      <c r="AE64" s="89">
        <f>$S64*'Y2_3 Cash Flow Assumptions'!O64</f>
        <v>4471.3169999999991</v>
      </c>
      <c r="AF64" s="89">
        <f>$S64*'Y2_3 Cash Flow Assumptions'!P64</f>
        <v>0</v>
      </c>
      <c r="AG64" s="103" t="str">
        <f t="shared" si="13"/>
        <v/>
      </c>
      <c r="AI64" s="89">
        <f>'Budget Summary'!E60</f>
        <v>97217.077999999994</v>
      </c>
      <c r="AJ64" s="89">
        <f>$AI64*'Y2_3 Cash Flow Assumptions'!D64</f>
        <v>0</v>
      </c>
      <c r="AK64" s="89">
        <f>$AI64*'Y2_3 Cash Flow Assumptions'!E64</f>
        <v>4860.8539000000001</v>
      </c>
      <c r="AL64" s="89">
        <f>$AI64*'Y2_3 Cash Flow Assumptions'!F64</f>
        <v>9721.7078000000001</v>
      </c>
      <c r="AM64" s="89">
        <f>$AI64*'Y2_3 Cash Flow Assumptions'!G64</f>
        <v>9721.7078000000001</v>
      </c>
      <c r="AN64" s="89">
        <f>$AI64*'Y2_3 Cash Flow Assumptions'!H64</f>
        <v>9721.7078000000001</v>
      </c>
      <c r="AO64" s="89">
        <f>$AI64*'Y2_3 Cash Flow Assumptions'!I64</f>
        <v>9721.7078000000001</v>
      </c>
      <c r="AP64" s="89">
        <f>$AI64*'Y2_3 Cash Flow Assumptions'!J64</f>
        <v>9721.7078000000001</v>
      </c>
      <c r="AQ64" s="89">
        <f>$AI64*'Y2_3 Cash Flow Assumptions'!K64</f>
        <v>9721.7078000000001</v>
      </c>
      <c r="AR64" s="89">
        <f>$AI64*'Y2_3 Cash Flow Assumptions'!L64</f>
        <v>9721.7078000000001</v>
      </c>
      <c r="AS64" s="89">
        <f>$AI64*'Y2_3 Cash Flow Assumptions'!M64</f>
        <v>9721.7078000000001</v>
      </c>
      <c r="AT64" s="89">
        <f>$AI64*'Y2_3 Cash Flow Assumptions'!N64</f>
        <v>9721.7078000000001</v>
      </c>
      <c r="AU64" s="89">
        <f>$AI64*'Y2_3 Cash Flow Assumptions'!O64</f>
        <v>4860.8539000000001</v>
      </c>
      <c r="AV64" s="89">
        <f>$AI64*'Y2_3 Cash Flow Assumptions'!P64</f>
        <v>0</v>
      </c>
      <c r="AW64" s="83" t="str">
        <f t="shared" si="14"/>
        <v/>
      </c>
    </row>
    <row r="65" spans="1:49">
      <c r="A65" s="23"/>
      <c r="B65" s="24" t="s">
        <v>184</v>
      </c>
      <c r="C65" s="89">
        <f>'Budget Summary'!C61</f>
        <v>0</v>
      </c>
      <c r="D65" s="89">
        <f>$C65*'Y1 Cash Flow Assumptions'!D65</f>
        <v>0</v>
      </c>
      <c r="E65" s="89">
        <f>$C65*'Y1 Cash Flow Assumptions'!E65</f>
        <v>0</v>
      </c>
      <c r="F65" s="89">
        <f>$C65*'Y1 Cash Flow Assumptions'!F65</f>
        <v>0</v>
      </c>
      <c r="G65" s="89">
        <f>$C65*'Y1 Cash Flow Assumptions'!G65</f>
        <v>0</v>
      </c>
      <c r="H65" s="89">
        <f>$C65*'Y1 Cash Flow Assumptions'!H65</f>
        <v>0</v>
      </c>
      <c r="I65" s="89">
        <f>$C65*'Y1 Cash Flow Assumptions'!I65</f>
        <v>0</v>
      </c>
      <c r="J65" s="89">
        <f>$C65*'Y1 Cash Flow Assumptions'!J65</f>
        <v>0</v>
      </c>
      <c r="K65" s="89">
        <f>$C65*'Y1 Cash Flow Assumptions'!K65</f>
        <v>0</v>
      </c>
      <c r="L65" s="89">
        <f>$C65*'Y1 Cash Flow Assumptions'!L65</f>
        <v>0</v>
      </c>
      <c r="M65" s="89">
        <f>$C65*'Y1 Cash Flow Assumptions'!M65</f>
        <v>0</v>
      </c>
      <c r="N65" s="89">
        <f>$C65*'Y1 Cash Flow Assumptions'!N65</f>
        <v>0</v>
      </c>
      <c r="O65" s="89">
        <f>$C65*'Y1 Cash Flow Assumptions'!O65</f>
        <v>0</v>
      </c>
      <c r="P65" s="89">
        <f>$C65*'Y1 Cash Flow Assumptions'!P65</f>
        <v>0</v>
      </c>
      <c r="Q65" s="103" t="str">
        <f t="shared" si="12"/>
        <v/>
      </c>
      <c r="S65" s="89">
        <f>'Budget Summary'!D61</f>
        <v>0</v>
      </c>
      <c r="T65" s="89">
        <f>$S65*'Y2_3 Cash Flow Assumptions'!D65</f>
        <v>0</v>
      </c>
      <c r="U65" s="89">
        <f>$S65*'Y2_3 Cash Flow Assumptions'!E65</f>
        <v>0</v>
      </c>
      <c r="V65" s="89">
        <f>$S65*'Y2_3 Cash Flow Assumptions'!F65</f>
        <v>0</v>
      </c>
      <c r="W65" s="89">
        <f>$S65*'Y2_3 Cash Flow Assumptions'!G65</f>
        <v>0</v>
      </c>
      <c r="X65" s="89">
        <f>$S65*'Y2_3 Cash Flow Assumptions'!H65</f>
        <v>0</v>
      </c>
      <c r="Y65" s="89">
        <f>$S65*'Y2_3 Cash Flow Assumptions'!I65</f>
        <v>0</v>
      </c>
      <c r="Z65" s="89">
        <f>$S65*'Y2_3 Cash Flow Assumptions'!J65</f>
        <v>0</v>
      </c>
      <c r="AA65" s="89">
        <f>$S65*'Y2_3 Cash Flow Assumptions'!K65</f>
        <v>0</v>
      </c>
      <c r="AB65" s="89">
        <f>$S65*'Y2_3 Cash Flow Assumptions'!L65</f>
        <v>0</v>
      </c>
      <c r="AC65" s="89">
        <f>$S65*'Y2_3 Cash Flow Assumptions'!M65</f>
        <v>0</v>
      </c>
      <c r="AD65" s="89">
        <f>$S65*'Y2_3 Cash Flow Assumptions'!N65</f>
        <v>0</v>
      </c>
      <c r="AE65" s="89">
        <f>$S65*'Y2_3 Cash Flow Assumptions'!O65</f>
        <v>0</v>
      </c>
      <c r="AF65" s="89">
        <f>$S65*'Y2_3 Cash Flow Assumptions'!P65</f>
        <v>0</v>
      </c>
      <c r="AG65" s="103" t="str">
        <f t="shared" si="13"/>
        <v/>
      </c>
      <c r="AI65" s="89">
        <f>'Budget Summary'!E61</f>
        <v>0</v>
      </c>
      <c r="AJ65" s="89">
        <f>$AI65*'Y2_3 Cash Flow Assumptions'!D65</f>
        <v>0</v>
      </c>
      <c r="AK65" s="89">
        <f>$AI65*'Y2_3 Cash Flow Assumptions'!E65</f>
        <v>0</v>
      </c>
      <c r="AL65" s="89">
        <f>$AI65*'Y2_3 Cash Flow Assumptions'!F65</f>
        <v>0</v>
      </c>
      <c r="AM65" s="89">
        <f>$AI65*'Y2_3 Cash Flow Assumptions'!G65</f>
        <v>0</v>
      </c>
      <c r="AN65" s="89">
        <f>$AI65*'Y2_3 Cash Flow Assumptions'!H65</f>
        <v>0</v>
      </c>
      <c r="AO65" s="89">
        <f>$AI65*'Y2_3 Cash Flow Assumptions'!I65</f>
        <v>0</v>
      </c>
      <c r="AP65" s="89">
        <f>$AI65*'Y2_3 Cash Flow Assumptions'!J65</f>
        <v>0</v>
      </c>
      <c r="AQ65" s="89">
        <f>$AI65*'Y2_3 Cash Flow Assumptions'!K65</f>
        <v>0</v>
      </c>
      <c r="AR65" s="89">
        <f>$AI65*'Y2_3 Cash Flow Assumptions'!L65</f>
        <v>0</v>
      </c>
      <c r="AS65" s="89">
        <f>$AI65*'Y2_3 Cash Flow Assumptions'!M65</f>
        <v>0</v>
      </c>
      <c r="AT65" s="89">
        <f>$AI65*'Y2_3 Cash Flow Assumptions'!N65</f>
        <v>0</v>
      </c>
      <c r="AU65" s="89">
        <f>$AI65*'Y2_3 Cash Flow Assumptions'!O65</f>
        <v>0</v>
      </c>
      <c r="AV65" s="89">
        <f>$AI65*'Y2_3 Cash Flow Assumptions'!P65</f>
        <v>0</v>
      </c>
      <c r="AW65" s="83" t="str">
        <f t="shared" si="14"/>
        <v/>
      </c>
    </row>
    <row r="66" spans="1:49">
      <c r="A66" s="23" t="s">
        <v>51</v>
      </c>
      <c r="C66" s="88">
        <f>SUM(C57:C65)</f>
        <v>423955.58400000003</v>
      </c>
      <c r="D66" s="88">
        <f t="shared" ref="D66:P66" si="120">SUM(D57:D65)</f>
        <v>25629.190399999999</v>
      </c>
      <c r="E66" s="88">
        <f t="shared" si="120"/>
        <v>27858.196945454543</v>
      </c>
      <c r="F66" s="88">
        <f t="shared" si="120"/>
        <v>38067.77774545455</v>
      </c>
      <c r="G66" s="88">
        <f t="shared" si="120"/>
        <v>38067.77774545455</v>
      </c>
      <c r="H66" s="88">
        <f t="shared" si="120"/>
        <v>38067.77774545455</v>
      </c>
      <c r="I66" s="88">
        <f t="shared" si="120"/>
        <v>38067.77774545455</v>
      </c>
      <c r="J66" s="88">
        <f t="shared" si="120"/>
        <v>38067.77774545455</v>
      </c>
      <c r="K66" s="88">
        <f t="shared" si="120"/>
        <v>38067.77774545455</v>
      </c>
      <c r="L66" s="88">
        <f t="shared" si="120"/>
        <v>38067.77774545455</v>
      </c>
      <c r="M66" s="88">
        <f t="shared" si="120"/>
        <v>38067.77774545455</v>
      </c>
      <c r="N66" s="88">
        <f t="shared" si="120"/>
        <v>38067.77774545455</v>
      </c>
      <c r="O66" s="88">
        <f t="shared" si="120"/>
        <v>27858.196945454543</v>
      </c>
      <c r="P66" s="88">
        <f t="shared" si="120"/>
        <v>0</v>
      </c>
      <c r="Q66" s="103" t="str">
        <f t="shared" si="12"/>
        <v/>
      </c>
      <c r="S66" s="88">
        <f>SUM(S57:S65)</f>
        <v>490890.49320000003</v>
      </c>
      <c r="T66" s="88">
        <f t="shared" ref="T66" si="121">SUM(T57:T65)</f>
        <v>30504.276879999998</v>
      </c>
      <c r="U66" s="88">
        <f t="shared" ref="U66" si="122">SUM(U57:U65)</f>
        <v>32561.082699999999</v>
      </c>
      <c r="V66" s="88">
        <f t="shared" ref="V66" si="123">SUM(V57:V65)</f>
        <v>43918.227879999999</v>
      </c>
      <c r="W66" s="88">
        <f t="shared" ref="W66" si="124">SUM(W57:W65)</f>
        <v>43918.227879999999</v>
      </c>
      <c r="X66" s="88">
        <f t="shared" ref="X66" si="125">SUM(X57:X65)</f>
        <v>43918.227879999999</v>
      </c>
      <c r="Y66" s="88">
        <f t="shared" ref="Y66" si="126">SUM(Y57:Y65)</f>
        <v>43918.227879999999</v>
      </c>
      <c r="Z66" s="88">
        <f t="shared" ref="Z66" si="127">SUM(Z57:Z65)</f>
        <v>43918.227879999999</v>
      </c>
      <c r="AA66" s="88">
        <f t="shared" ref="AA66" si="128">SUM(AA57:AA65)</f>
        <v>43918.227879999999</v>
      </c>
      <c r="AB66" s="88">
        <f t="shared" ref="AB66" si="129">SUM(AB57:AB65)</f>
        <v>43918.227879999999</v>
      </c>
      <c r="AC66" s="88">
        <f t="shared" ref="AC66" si="130">SUM(AC57:AC65)</f>
        <v>43918.227879999999</v>
      </c>
      <c r="AD66" s="88">
        <f t="shared" ref="AD66" si="131">SUM(AD57:AD65)</f>
        <v>43918.227879999999</v>
      </c>
      <c r="AE66" s="88">
        <f t="shared" ref="AE66" si="132">SUM(AE57:AE65)</f>
        <v>32561.082699999999</v>
      </c>
      <c r="AF66" s="88">
        <f t="shared" ref="AF66" si="133">SUM(AF57:AF65)</f>
        <v>0</v>
      </c>
      <c r="AG66" s="103" t="str">
        <f t="shared" si="13"/>
        <v/>
      </c>
      <c r="AI66" s="88">
        <f>SUM(AI57:AI65)</f>
        <v>553011.23399999994</v>
      </c>
      <c r="AJ66" s="88">
        <f t="shared" ref="AJ66:AV66" si="134">SUM(AJ57:AJ65)</f>
        <v>35195.956763999995</v>
      </c>
      <c r="AK66" s="88">
        <f t="shared" si="134"/>
        <v>36972.377916545454</v>
      </c>
      <c r="AL66" s="88">
        <f t="shared" si="134"/>
        <v>49318.946822545448</v>
      </c>
      <c r="AM66" s="88">
        <f t="shared" si="134"/>
        <v>49318.946822545448</v>
      </c>
      <c r="AN66" s="88">
        <f t="shared" si="134"/>
        <v>49318.946822545448</v>
      </c>
      <c r="AO66" s="88">
        <f t="shared" si="134"/>
        <v>49318.946822545448</v>
      </c>
      <c r="AP66" s="88">
        <f t="shared" si="134"/>
        <v>49318.946822545448</v>
      </c>
      <c r="AQ66" s="88">
        <f t="shared" si="134"/>
        <v>49318.946822545448</v>
      </c>
      <c r="AR66" s="88">
        <f t="shared" si="134"/>
        <v>49318.946822545448</v>
      </c>
      <c r="AS66" s="88">
        <f t="shared" si="134"/>
        <v>49318.946822545448</v>
      </c>
      <c r="AT66" s="88">
        <f t="shared" si="134"/>
        <v>49318.946822545448</v>
      </c>
      <c r="AU66" s="88">
        <f t="shared" si="134"/>
        <v>36972.377916545454</v>
      </c>
      <c r="AV66" s="88">
        <f t="shared" si="134"/>
        <v>0</v>
      </c>
      <c r="AW66" s="83" t="str">
        <f t="shared" si="14"/>
        <v/>
      </c>
    </row>
    <row r="67" spans="1:49">
      <c r="A67" s="23" t="s">
        <v>52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103" t="str">
        <f t="shared" si="12"/>
        <v/>
      </c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103" t="str">
        <f t="shared" si="13"/>
        <v/>
      </c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3" t="str">
        <f t="shared" si="14"/>
        <v/>
      </c>
    </row>
    <row r="68" spans="1:49">
      <c r="A68" s="23"/>
      <c r="B68" s="24" t="s">
        <v>63</v>
      </c>
      <c r="C68" s="89">
        <f>'Budget Summary'!C64</f>
        <v>50000</v>
      </c>
      <c r="D68" s="90">
        <f>$C68*'Y1 Cash Flow Assumptions'!D68</f>
        <v>12500</v>
      </c>
      <c r="E68" s="90">
        <f>$C68*'Y1 Cash Flow Assumptions'!E68</f>
        <v>12500</v>
      </c>
      <c r="F68" s="90">
        <f>$C68*'Y1 Cash Flow Assumptions'!F68</f>
        <v>12500</v>
      </c>
      <c r="G68" s="90">
        <f>$C68*'Y1 Cash Flow Assumptions'!G68</f>
        <v>1388.8888888888889</v>
      </c>
      <c r="H68" s="90">
        <f>$C68*'Y1 Cash Flow Assumptions'!H68</f>
        <v>1388.8888888888889</v>
      </c>
      <c r="I68" s="90">
        <f>$C68*'Y1 Cash Flow Assumptions'!I68</f>
        <v>1388.8888888888889</v>
      </c>
      <c r="J68" s="90">
        <f>$C68*'Y1 Cash Flow Assumptions'!J68</f>
        <v>1388.8888888888889</v>
      </c>
      <c r="K68" s="90">
        <f>$C68*'Y1 Cash Flow Assumptions'!K68</f>
        <v>1388.8888888888889</v>
      </c>
      <c r="L68" s="90">
        <f>$C68*'Y1 Cash Flow Assumptions'!L68</f>
        <v>1388.8888888888889</v>
      </c>
      <c r="M68" s="90">
        <f>$C68*'Y1 Cash Flow Assumptions'!M68</f>
        <v>1388.8888888888889</v>
      </c>
      <c r="N68" s="90">
        <f>$C68*'Y1 Cash Flow Assumptions'!N68</f>
        <v>1388.8888888888889</v>
      </c>
      <c r="O68" s="90">
        <f>$C68*'Y1 Cash Flow Assumptions'!O68</f>
        <v>1388.8888888888889</v>
      </c>
      <c r="P68" s="90">
        <f>$C68*'Y1 Cash Flow Assumptions'!P68</f>
        <v>0</v>
      </c>
      <c r="Q68" s="103" t="str">
        <f t="shared" si="12"/>
        <v/>
      </c>
      <c r="S68" s="89">
        <f>'Budget Summary'!D64</f>
        <v>50000</v>
      </c>
      <c r="T68" s="90">
        <f>$S68*'Y2_3 Cash Flow Assumptions'!D68</f>
        <v>12500</v>
      </c>
      <c r="U68" s="90">
        <f>$S68*'Y2_3 Cash Flow Assumptions'!E68</f>
        <v>12500</v>
      </c>
      <c r="V68" s="90">
        <f>$S68*'Y2_3 Cash Flow Assumptions'!F68</f>
        <v>12500</v>
      </c>
      <c r="W68" s="90">
        <f>$S68*'Y2_3 Cash Flow Assumptions'!G68</f>
        <v>1388.8888888888889</v>
      </c>
      <c r="X68" s="90">
        <f>$S68*'Y2_3 Cash Flow Assumptions'!H68</f>
        <v>1388.8888888888889</v>
      </c>
      <c r="Y68" s="90">
        <f>$S68*'Y2_3 Cash Flow Assumptions'!I68</f>
        <v>1388.8888888888889</v>
      </c>
      <c r="Z68" s="90">
        <f>$S68*'Y2_3 Cash Flow Assumptions'!J68</f>
        <v>1388.8888888888889</v>
      </c>
      <c r="AA68" s="90">
        <f>$S68*'Y2_3 Cash Flow Assumptions'!K68</f>
        <v>1388.8888888888889</v>
      </c>
      <c r="AB68" s="90">
        <f>$S68*'Y2_3 Cash Flow Assumptions'!L68</f>
        <v>1388.8888888888889</v>
      </c>
      <c r="AC68" s="90">
        <f>$S68*'Y2_3 Cash Flow Assumptions'!M68</f>
        <v>1388.8888888888889</v>
      </c>
      <c r="AD68" s="90">
        <f>$S68*'Y2_3 Cash Flow Assumptions'!N68</f>
        <v>1388.8888888888889</v>
      </c>
      <c r="AE68" s="90">
        <f>$S68*'Y2_3 Cash Flow Assumptions'!O68</f>
        <v>1388.8888888888889</v>
      </c>
      <c r="AF68" s="89">
        <f>$S68*'Y2_3 Cash Flow Assumptions'!P68</f>
        <v>0</v>
      </c>
      <c r="AG68" s="103" t="str">
        <f t="shared" si="13"/>
        <v/>
      </c>
      <c r="AI68" s="89">
        <f>'Budget Summary'!E64</f>
        <v>50000</v>
      </c>
      <c r="AJ68" s="89">
        <f>$AI68*'Y2_3 Cash Flow Assumptions'!D68</f>
        <v>12500</v>
      </c>
      <c r="AK68" s="89">
        <f>$AI68*'Y2_3 Cash Flow Assumptions'!E68</f>
        <v>12500</v>
      </c>
      <c r="AL68" s="89">
        <f>$AI68*'Y2_3 Cash Flow Assumptions'!F68</f>
        <v>12500</v>
      </c>
      <c r="AM68" s="89">
        <f>$AI68*'Y2_3 Cash Flow Assumptions'!G68</f>
        <v>1388.8888888888889</v>
      </c>
      <c r="AN68" s="89">
        <f>$AI68*'Y2_3 Cash Flow Assumptions'!H68</f>
        <v>1388.8888888888889</v>
      </c>
      <c r="AO68" s="89">
        <f>$AI68*'Y2_3 Cash Flow Assumptions'!I68</f>
        <v>1388.8888888888889</v>
      </c>
      <c r="AP68" s="89">
        <f>$AI68*'Y2_3 Cash Flow Assumptions'!J68</f>
        <v>1388.8888888888889</v>
      </c>
      <c r="AQ68" s="89">
        <f>$AI68*'Y2_3 Cash Flow Assumptions'!K68</f>
        <v>1388.8888888888889</v>
      </c>
      <c r="AR68" s="89">
        <f>$AI68*'Y2_3 Cash Flow Assumptions'!L68</f>
        <v>1388.8888888888889</v>
      </c>
      <c r="AS68" s="89">
        <f>$AI68*'Y2_3 Cash Flow Assumptions'!M68</f>
        <v>1388.8888888888889</v>
      </c>
      <c r="AT68" s="89">
        <f>$AI68*'Y2_3 Cash Flow Assumptions'!N68</f>
        <v>1388.8888888888889</v>
      </c>
      <c r="AU68" s="89">
        <f>$AI68*'Y2_3 Cash Flow Assumptions'!O68</f>
        <v>1388.8888888888889</v>
      </c>
      <c r="AV68" s="89">
        <f>$AI68*'Y2_3 Cash Flow Assumptions'!P68</f>
        <v>0</v>
      </c>
      <c r="AW68" s="83" t="str">
        <f t="shared" si="14"/>
        <v/>
      </c>
    </row>
    <row r="69" spans="1:49">
      <c r="A69" s="23"/>
      <c r="B69" s="24" t="s">
        <v>64</v>
      </c>
      <c r="C69" s="89">
        <f>'Budget Summary'!C65</f>
        <v>20000</v>
      </c>
      <c r="D69" s="90">
        <f>$C69*'Y1 Cash Flow Assumptions'!D69</f>
        <v>5000</v>
      </c>
      <c r="E69" s="90">
        <f>$C69*'Y1 Cash Flow Assumptions'!E69</f>
        <v>5000</v>
      </c>
      <c r="F69" s="90">
        <f>$C69*'Y1 Cash Flow Assumptions'!F69</f>
        <v>5000</v>
      </c>
      <c r="G69" s="90">
        <f>$C69*'Y1 Cash Flow Assumptions'!G69</f>
        <v>555.55555555555554</v>
      </c>
      <c r="H69" s="90">
        <f>$C69*'Y1 Cash Flow Assumptions'!H69</f>
        <v>555.55555555555554</v>
      </c>
      <c r="I69" s="90">
        <f>$C69*'Y1 Cash Flow Assumptions'!I69</f>
        <v>555.55555555555554</v>
      </c>
      <c r="J69" s="90">
        <f>$C69*'Y1 Cash Flow Assumptions'!J69</f>
        <v>555.55555555555554</v>
      </c>
      <c r="K69" s="90">
        <f>$C69*'Y1 Cash Flow Assumptions'!K69</f>
        <v>555.55555555555554</v>
      </c>
      <c r="L69" s="90">
        <f>$C69*'Y1 Cash Flow Assumptions'!L69</f>
        <v>555.55555555555554</v>
      </c>
      <c r="M69" s="90">
        <f>$C69*'Y1 Cash Flow Assumptions'!M69</f>
        <v>555.55555555555554</v>
      </c>
      <c r="N69" s="90">
        <f>$C69*'Y1 Cash Flow Assumptions'!N69</f>
        <v>555.55555555555554</v>
      </c>
      <c r="O69" s="90">
        <f>$C69*'Y1 Cash Flow Assumptions'!O69</f>
        <v>555.55555555555554</v>
      </c>
      <c r="P69" s="90">
        <f>$C69*'Y1 Cash Flow Assumptions'!P69</f>
        <v>0</v>
      </c>
      <c r="Q69" s="103" t="str">
        <f t="shared" si="12"/>
        <v/>
      </c>
      <c r="S69" s="89">
        <f>'Budget Summary'!D65</f>
        <v>20000</v>
      </c>
      <c r="T69" s="90">
        <f>$S69*'Y2_3 Cash Flow Assumptions'!D69</f>
        <v>5000</v>
      </c>
      <c r="U69" s="90">
        <f>$S69*'Y2_3 Cash Flow Assumptions'!E69</f>
        <v>5000</v>
      </c>
      <c r="V69" s="90">
        <f>$S69*'Y2_3 Cash Flow Assumptions'!F69</f>
        <v>5000</v>
      </c>
      <c r="W69" s="90">
        <f>$S69*'Y2_3 Cash Flow Assumptions'!G69</f>
        <v>555.55555555555554</v>
      </c>
      <c r="X69" s="90">
        <f>$S69*'Y2_3 Cash Flow Assumptions'!H69</f>
        <v>555.55555555555554</v>
      </c>
      <c r="Y69" s="90">
        <f>$S69*'Y2_3 Cash Flow Assumptions'!I69</f>
        <v>555.55555555555554</v>
      </c>
      <c r="Z69" s="90">
        <f>$S69*'Y2_3 Cash Flow Assumptions'!J69</f>
        <v>555.55555555555554</v>
      </c>
      <c r="AA69" s="90">
        <f>$S69*'Y2_3 Cash Flow Assumptions'!K69</f>
        <v>555.55555555555554</v>
      </c>
      <c r="AB69" s="90">
        <f>$S69*'Y2_3 Cash Flow Assumptions'!L69</f>
        <v>555.55555555555554</v>
      </c>
      <c r="AC69" s="90">
        <f>$S69*'Y2_3 Cash Flow Assumptions'!M69</f>
        <v>555.55555555555554</v>
      </c>
      <c r="AD69" s="90">
        <f>$S69*'Y2_3 Cash Flow Assumptions'!N69</f>
        <v>555.55555555555554</v>
      </c>
      <c r="AE69" s="90">
        <f>$S69*'Y2_3 Cash Flow Assumptions'!O69</f>
        <v>555.55555555555554</v>
      </c>
      <c r="AF69" s="89">
        <f>$S69*'Y2_3 Cash Flow Assumptions'!P69</f>
        <v>0</v>
      </c>
      <c r="AG69" s="103" t="str">
        <f t="shared" si="13"/>
        <v/>
      </c>
      <c r="AI69" s="89">
        <f>'Budget Summary'!E65</f>
        <v>20000</v>
      </c>
      <c r="AJ69" s="89">
        <f>$AI69*'Y2_3 Cash Flow Assumptions'!D69</f>
        <v>5000</v>
      </c>
      <c r="AK69" s="89">
        <f>$AI69*'Y2_3 Cash Flow Assumptions'!E69</f>
        <v>5000</v>
      </c>
      <c r="AL69" s="89">
        <f>$AI69*'Y2_3 Cash Flow Assumptions'!F69</f>
        <v>5000</v>
      </c>
      <c r="AM69" s="89">
        <f>$AI69*'Y2_3 Cash Flow Assumptions'!G69</f>
        <v>555.55555555555554</v>
      </c>
      <c r="AN69" s="89">
        <f>$AI69*'Y2_3 Cash Flow Assumptions'!H69</f>
        <v>555.55555555555554</v>
      </c>
      <c r="AO69" s="89">
        <f>$AI69*'Y2_3 Cash Flow Assumptions'!I69</f>
        <v>555.55555555555554</v>
      </c>
      <c r="AP69" s="89">
        <f>$AI69*'Y2_3 Cash Flow Assumptions'!J69</f>
        <v>555.55555555555554</v>
      </c>
      <c r="AQ69" s="89">
        <f>$AI69*'Y2_3 Cash Flow Assumptions'!K69</f>
        <v>555.55555555555554</v>
      </c>
      <c r="AR69" s="89">
        <f>$AI69*'Y2_3 Cash Flow Assumptions'!L69</f>
        <v>555.55555555555554</v>
      </c>
      <c r="AS69" s="89">
        <f>$AI69*'Y2_3 Cash Flow Assumptions'!M69</f>
        <v>555.55555555555554</v>
      </c>
      <c r="AT69" s="89">
        <f>$AI69*'Y2_3 Cash Flow Assumptions'!N69</f>
        <v>555.55555555555554</v>
      </c>
      <c r="AU69" s="89">
        <f>$AI69*'Y2_3 Cash Flow Assumptions'!O69</f>
        <v>555.55555555555554</v>
      </c>
      <c r="AV69" s="89">
        <f>$AI69*'Y2_3 Cash Flow Assumptions'!P69</f>
        <v>0</v>
      </c>
      <c r="AW69" s="83" t="str">
        <f t="shared" si="14"/>
        <v/>
      </c>
    </row>
    <row r="70" spans="1:49">
      <c r="A70" s="23"/>
      <c r="B70" s="24" t="s">
        <v>20</v>
      </c>
      <c r="C70" s="89">
        <f>'Budget Summary'!C66</f>
        <v>80000</v>
      </c>
      <c r="D70" s="90">
        <f>$C70*'Y1 Cash Flow Assumptions'!D70</f>
        <v>20000</v>
      </c>
      <c r="E70" s="90">
        <f>$C70*'Y1 Cash Flow Assumptions'!E70</f>
        <v>20000</v>
      </c>
      <c r="F70" s="90">
        <f>$C70*'Y1 Cash Flow Assumptions'!F70</f>
        <v>20000</v>
      </c>
      <c r="G70" s="90">
        <f>$C70*'Y1 Cash Flow Assumptions'!G70</f>
        <v>2222.2222222222222</v>
      </c>
      <c r="H70" s="90">
        <f>$C70*'Y1 Cash Flow Assumptions'!H70</f>
        <v>2222.2222222222222</v>
      </c>
      <c r="I70" s="90">
        <f>$C70*'Y1 Cash Flow Assumptions'!I70</f>
        <v>2222.2222222222222</v>
      </c>
      <c r="J70" s="90">
        <f>$C70*'Y1 Cash Flow Assumptions'!J70</f>
        <v>2222.2222222222222</v>
      </c>
      <c r="K70" s="90">
        <f>$C70*'Y1 Cash Flow Assumptions'!K70</f>
        <v>2222.2222222222222</v>
      </c>
      <c r="L70" s="90">
        <f>$C70*'Y1 Cash Flow Assumptions'!L70</f>
        <v>2222.2222222222222</v>
      </c>
      <c r="M70" s="90">
        <f>$C70*'Y1 Cash Flow Assumptions'!M70</f>
        <v>2222.2222222222222</v>
      </c>
      <c r="N70" s="90">
        <f>$C70*'Y1 Cash Flow Assumptions'!N70</f>
        <v>2222.2222222222222</v>
      </c>
      <c r="O70" s="90">
        <f>$C70*'Y1 Cash Flow Assumptions'!O70</f>
        <v>2222.2222222222222</v>
      </c>
      <c r="P70" s="90">
        <f>$C70*'Y1 Cash Flow Assumptions'!P70</f>
        <v>0</v>
      </c>
      <c r="Q70" s="103" t="str">
        <f t="shared" si="12"/>
        <v/>
      </c>
      <c r="S70" s="89">
        <f>'Budget Summary'!D66</f>
        <v>80000</v>
      </c>
      <c r="T70" s="90">
        <f>$S70*'Y2_3 Cash Flow Assumptions'!D70</f>
        <v>20000</v>
      </c>
      <c r="U70" s="90">
        <f>$S70*'Y2_3 Cash Flow Assumptions'!E70</f>
        <v>20000</v>
      </c>
      <c r="V70" s="90">
        <f>$S70*'Y2_3 Cash Flow Assumptions'!F70</f>
        <v>20000</v>
      </c>
      <c r="W70" s="90">
        <f>$S70*'Y2_3 Cash Flow Assumptions'!G70</f>
        <v>2222.2222222222222</v>
      </c>
      <c r="X70" s="90">
        <f>$S70*'Y2_3 Cash Flow Assumptions'!H70</f>
        <v>2222.2222222222222</v>
      </c>
      <c r="Y70" s="90">
        <f>$S70*'Y2_3 Cash Flow Assumptions'!I70</f>
        <v>2222.2222222222222</v>
      </c>
      <c r="Z70" s="90">
        <f>$S70*'Y2_3 Cash Flow Assumptions'!J70</f>
        <v>2222.2222222222222</v>
      </c>
      <c r="AA70" s="90">
        <f>$S70*'Y2_3 Cash Flow Assumptions'!K70</f>
        <v>2222.2222222222222</v>
      </c>
      <c r="AB70" s="90">
        <f>$S70*'Y2_3 Cash Flow Assumptions'!L70</f>
        <v>2222.2222222222222</v>
      </c>
      <c r="AC70" s="90">
        <f>$S70*'Y2_3 Cash Flow Assumptions'!M70</f>
        <v>2222.2222222222222</v>
      </c>
      <c r="AD70" s="90">
        <f>$S70*'Y2_3 Cash Flow Assumptions'!N70</f>
        <v>2222.2222222222222</v>
      </c>
      <c r="AE70" s="90">
        <f>$S70*'Y2_3 Cash Flow Assumptions'!O70</f>
        <v>2222.2222222222222</v>
      </c>
      <c r="AF70" s="89">
        <f>$S70*'Y2_3 Cash Flow Assumptions'!P70</f>
        <v>0</v>
      </c>
      <c r="AG70" s="103" t="str">
        <f t="shared" si="13"/>
        <v/>
      </c>
      <c r="AI70" s="89">
        <f>'Budget Summary'!E66</f>
        <v>80000</v>
      </c>
      <c r="AJ70" s="89">
        <f>$AI70*'Y2_3 Cash Flow Assumptions'!D70</f>
        <v>20000</v>
      </c>
      <c r="AK70" s="89">
        <f>$AI70*'Y2_3 Cash Flow Assumptions'!E70</f>
        <v>20000</v>
      </c>
      <c r="AL70" s="89">
        <f>$AI70*'Y2_3 Cash Flow Assumptions'!F70</f>
        <v>20000</v>
      </c>
      <c r="AM70" s="89">
        <f>$AI70*'Y2_3 Cash Flow Assumptions'!G70</f>
        <v>2222.2222222222222</v>
      </c>
      <c r="AN70" s="89">
        <f>$AI70*'Y2_3 Cash Flow Assumptions'!H70</f>
        <v>2222.2222222222222</v>
      </c>
      <c r="AO70" s="89">
        <f>$AI70*'Y2_3 Cash Flow Assumptions'!I70</f>
        <v>2222.2222222222222</v>
      </c>
      <c r="AP70" s="89">
        <f>$AI70*'Y2_3 Cash Flow Assumptions'!J70</f>
        <v>2222.2222222222222</v>
      </c>
      <c r="AQ70" s="89">
        <f>$AI70*'Y2_3 Cash Flow Assumptions'!K70</f>
        <v>2222.2222222222222</v>
      </c>
      <c r="AR70" s="89">
        <f>$AI70*'Y2_3 Cash Flow Assumptions'!L70</f>
        <v>2222.2222222222222</v>
      </c>
      <c r="AS70" s="89">
        <f>$AI70*'Y2_3 Cash Flow Assumptions'!M70</f>
        <v>2222.2222222222222</v>
      </c>
      <c r="AT70" s="89">
        <f>$AI70*'Y2_3 Cash Flow Assumptions'!N70</f>
        <v>2222.2222222222222</v>
      </c>
      <c r="AU70" s="89">
        <f>$AI70*'Y2_3 Cash Flow Assumptions'!O70</f>
        <v>2222.2222222222222</v>
      </c>
      <c r="AV70" s="89">
        <f>$AI70*'Y2_3 Cash Flow Assumptions'!P70</f>
        <v>0</v>
      </c>
      <c r="AW70" s="83" t="str">
        <f t="shared" si="14"/>
        <v/>
      </c>
    </row>
    <row r="71" spans="1:49">
      <c r="A71" s="23"/>
      <c r="B71" s="24" t="s">
        <v>21</v>
      </c>
      <c r="C71" s="89">
        <f>'Budget Summary'!C67</f>
        <v>5000</v>
      </c>
      <c r="D71" s="90">
        <f>$C71*'Y1 Cash Flow Assumptions'!D71</f>
        <v>1250</v>
      </c>
      <c r="E71" s="90">
        <f>$C71*'Y1 Cash Flow Assumptions'!E71</f>
        <v>1250</v>
      </c>
      <c r="F71" s="90">
        <f>$C71*'Y1 Cash Flow Assumptions'!F71</f>
        <v>1250</v>
      </c>
      <c r="G71" s="90">
        <f>$C71*'Y1 Cash Flow Assumptions'!G71</f>
        <v>138.88888888888889</v>
      </c>
      <c r="H71" s="90">
        <f>$C71*'Y1 Cash Flow Assumptions'!H71</f>
        <v>138.88888888888889</v>
      </c>
      <c r="I71" s="90">
        <f>$C71*'Y1 Cash Flow Assumptions'!I71</f>
        <v>138.88888888888889</v>
      </c>
      <c r="J71" s="90">
        <f>$C71*'Y1 Cash Flow Assumptions'!J71</f>
        <v>138.88888888888889</v>
      </c>
      <c r="K71" s="90">
        <f>$C71*'Y1 Cash Flow Assumptions'!K71</f>
        <v>138.88888888888889</v>
      </c>
      <c r="L71" s="90">
        <f>$C71*'Y1 Cash Flow Assumptions'!L71</f>
        <v>138.88888888888889</v>
      </c>
      <c r="M71" s="90">
        <f>$C71*'Y1 Cash Flow Assumptions'!M71</f>
        <v>138.88888888888889</v>
      </c>
      <c r="N71" s="90">
        <f>$C71*'Y1 Cash Flow Assumptions'!N71</f>
        <v>138.88888888888889</v>
      </c>
      <c r="O71" s="90">
        <f>$C71*'Y1 Cash Flow Assumptions'!O71</f>
        <v>138.88888888888889</v>
      </c>
      <c r="P71" s="90">
        <f>$C71*'Y1 Cash Flow Assumptions'!P71</f>
        <v>0</v>
      </c>
      <c r="Q71" s="103" t="str">
        <f t="shared" si="12"/>
        <v/>
      </c>
      <c r="S71" s="89">
        <f>'Budget Summary'!D67</f>
        <v>5000</v>
      </c>
      <c r="T71" s="90">
        <f>$S71*'Y2_3 Cash Flow Assumptions'!D71</f>
        <v>1250</v>
      </c>
      <c r="U71" s="90">
        <f>$S71*'Y2_3 Cash Flow Assumptions'!E71</f>
        <v>1250</v>
      </c>
      <c r="V71" s="90">
        <f>$S71*'Y2_3 Cash Flow Assumptions'!F71</f>
        <v>1250</v>
      </c>
      <c r="W71" s="90">
        <f>$S71*'Y2_3 Cash Flow Assumptions'!G71</f>
        <v>138.88888888888889</v>
      </c>
      <c r="X71" s="90">
        <f>$S71*'Y2_3 Cash Flow Assumptions'!H71</f>
        <v>138.88888888888889</v>
      </c>
      <c r="Y71" s="90">
        <f>$S71*'Y2_3 Cash Flow Assumptions'!I71</f>
        <v>138.88888888888889</v>
      </c>
      <c r="Z71" s="90">
        <f>$S71*'Y2_3 Cash Flow Assumptions'!J71</f>
        <v>138.88888888888889</v>
      </c>
      <c r="AA71" s="90">
        <f>$S71*'Y2_3 Cash Flow Assumptions'!K71</f>
        <v>138.88888888888889</v>
      </c>
      <c r="AB71" s="90">
        <f>$S71*'Y2_3 Cash Flow Assumptions'!L71</f>
        <v>138.88888888888889</v>
      </c>
      <c r="AC71" s="90">
        <f>$S71*'Y2_3 Cash Flow Assumptions'!M71</f>
        <v>138.88888888888889</v>
      </c>
      <c r="AD71" s="90">
        <f>$S71*'Y2_3 Cash Flow Assumptions'!N71</f>
        <v>138.88888888888889</v>
      </c>
      <c r="AE71" s="90">
        <f>$S71*'Y2_3 Cash Flow Assumptions'!O71</f>
        <v>138.88888888888889</v>
      </c>
      <c r="AF71" s="89">
        <f>$S71*'Y2_3 Cash Flow Assumptions'!P71</f>
        <v>0</v>
      </c>
      <c r="AG71" s="103" t="str">
        <f t="shared" si="13"/>
        <v/>
      </c>
      <c r="AI71" s="89">
        <f>'Budget Summary'!E67</f>
        <v>5000</v>
      </c>
      <c r="AJ71" s="89">
        <f>$AI71*'Y2_3 Cash Flow Assumptions'!D71</f>
        <v>1250</v>
      </c>
      <c r="AK71" s="89">
        <f>$AI71*'Y2_3 Cash Flow Assumptions'!E71</f>
        <v>1250</v>
      </c>
      <c r="AL71" s="89">
        <f>$AI71*'Y2_3 Cash Flow Assumptions'!F71</f>
        <v>1250</v>
      </c>
      <c r="AM71" s="89">
        <f>$AI71*'Y2_3 Cash Flow Assumptions'!G71</f>
        <v>138.88888888888889</v>
      </c>
      <c r="AN71" s="89">
        <f>$AI71*'Y2_3 Cash Flow Assumptions'!H71</f>
        <v>138.88888888888889</v>
      </c>
      <c r="AO71" s="89">
        <f>$AI71*'Y2_3 Cash Flow Assumptions'!I71</f>
        <v>138.88888888888889</v>
      </c>
      <c r="AP71" s="89">
        <f>$AI71*'Y2_3 Cash Flow Assumptions'!J71</f>
        <v>138.88888888888889</v>
      </c>
      <c r="AQ71" s="89">
        <f>$AI71*'Y2_3 Cash Flow Assumptions'!K71</f>
        <v>138.88888888888889</v>
      </c>
      <c r="AR71" s="89">
        <f>$AI71*'Y2_3 Cash Flow Assumptions'!L71</f>
        <v>138.88888888888889</v>
      </c>
      <c r="AS71" s="89">
        <f>$AI71*'Y2_3 Cash Flow Assumptions'!M71</f>
        <v>138.88888888888889</v>
      </c>
      <c r="AT71" s="89">
        <f>$AI71*'Y2_3 Cash Flow Assumptions'!N71</f>
        <v>138.88888888888889</v>
      </c>
      <c r="AU71" s="89">
        <f>$AI71*'Y2_3 Cash Flow Assumptions'!O71</f>
        <v>138.88888888888889</v>
      </c>
      <c r="AV71" s="89">
        <f>$AI71*'Y2_3 Cash Flow Assumptions'!P71</f>
        <v>0</v>
      </c>
      <c r="AW71" s="83" t="str">
        <f t="shared" si="14"/>
        <v/>
      </c>
    </row>
    <row r="72" spans="1:49">
      <c r="A72" s="23"/>
      <c r="B72" s="24" t="s">
        <v>53</v>
      </c>
      <c r="C72" s="89">
        <f>'Budget Summary'!C68</f>
        <v>0</v>
      </c>
      <c r="D72" s="90">
        <f>$C72*'Y1 Cash Flow Assumptions'!D72</f>
        <v>0</v>
      </c>
      <c r="E72" s="90">
        <f>$C72*'Y1 Cash Flow Assumptions'!E72</f>
        <v>0</v>
      </c>
      <c r="F72" s="90">
        <f>$C72*'Y1 Cash Flow Assumptions'!F72</f>
        <v>0</v>
      </c>
      <c r="G72" s="90">
        <f>$C72*'Y1 Cash Flow Assumptions'!G72</f>
        <v>0</v>
      </c>
      <c r="H72" s="90">
        <f>$C72*'Y1 Cash Flow Assumptions'!H72</f>
        <v>0</v>
      </c>
      <c r="I72" s="90">
        <f>$C72*'Y1 Cash Flow Assumptions'!I72</f>
        <v>0</v>
      </c>
      <c r="J72" s="90">
        <f>$C72*'Y1 Cash Flow Assumptions'!J72</f>
        <v>0</v>
      </c>
      <c r="K72" s="90">
        <f>$C72*'Y1 Cash Flow Assumptions'!K72</f>
        <v>0</v>
      </c>
      <c r="L72" s="90">
        <f>$C72*'Y1 Cash Flow Assumptions'!L72</f>
        <v>0</v>
      </c>
      <c r="M72" s="90">
        <f>$C72*'Y1 Cash Flow Assumptions'!M72</f>
        <v>0</v>
      </c>
      <c r="N72" s="90">
        <f>$C72*'Y1 Cash Flow Assumptions'!N72</f>
        <v>0</v>
      </c>
      <c r="O72" s="90">
        <f>$C72*'Y1 Cash Flow Assumptions'!O72</f>
        <v>0</v>
      </c>
      <c r="P72" s="90">
        <f>$C72*'Y1 Cash Flow Assumptions'!P72</f>
        <v>0</v>
      </c>
      <c r="Q72" s="103" t="str">
        <f t="shared" si="12"/>
        <v/>
      </c>
      <c r="S72" s="89">
        <f>'Budget Summary'!D68</f>
        <v>0</v>
      </c>
      <c r="T72" s="90">
        <f>$S72*'Y2_3 Cash Flow Assumptions'!D72</f>
        <v>0</v>
      </c>
      <c r="U72" s="90">
        <f>$S72*'Y2_3 Cash Flow Assumptions'!E72</f>
        <v>0</v>
      </c>
      <c r="V72" s="90">
        <f>$S72*'Y2_3 Cash Flow Assumptions'!F72</f>
        <v>0</v>
      </c>
      <c r="W72" s="90">
        <f>$S72*'Y2_3 Cash Flow Assumptions'!G72</f>
        <v>0</v>
      </c>
      <c r="X72" s="90">
        <f>$S72*'Y2_3 Cash Flow Assumptions'!H72</f>
        <v>0</v>
      </c>
      <c r="Y72" s="90">
        <f>$S72*'Y2_3 Cash Flow Assumptions'!I72</f>
        <v>0</v>
      </c>
      <c r="Z72" s="90">
        <f>$S72*'Y2_3 Cash Flow Assumptions'!J72</f>
        <v>0</v>
      </c>
      <c r="AA72" s="90">
        <f>$S72*'Y2_3 Cash Flow Assumptions'!K72</f>
        <v>0</v>
      </c>
      <c r="AB72" s="90">
        <f>$S72*'Y2_3 Cash Flow Assumptions'!L72</f>
        <v>0</v>
      </c>
      <c r="AC72" s="90">
        <f>$S72*'Y2_3 Cash Flow Assumptions'!M72</f>
        <v>0</v>
      </c>
      <c r="AD72" s="90">
        <f>$S72*'Y2_3 Cash Flow Assumptions'!N72</f>
        <v>0</v>
      </c>
      <c r="AE72" s="90">
        <f>$S72*'Y2_3 Cash Flow Assumptions'!O72</f>
        <v>0</v>
      </c>
      <c r="AF72" s="89">
        <f>$S72*'Y2_3 Cash Flow Assumptions'!P72</f>
        <v>0</v>
      </c>
      <c r="AG72" s="103" t="str">
        <f t="shared" si="13"/>
        <v/>
      </c>
      <c r="AI72" s="89">
        <f>'Budget Summary'!E68</f>
        <v>0</v>
      </c>
      <c r="AJ72" s="89">
        <f>$AI72*'Y2_3 Cash Flow Assumptions'!D72</f>
        <v>0</v>
      </c>
      <c r="AK72" s="89">
        <f>$AI72*'Y2_3 Cash Flow Assumptions'!E72</f>
        <v>0</v>
      </c>
      <c r="AL72" s="89">
        <f>$AI72*'Y2_3 Cash Flow Assumptions'!F72</f>
        <v>0</v>
      </c>
      <c r="AM72" s="89">
        <f>$AI72*'Y2_3 Cash Flow Assumptions'!G72</f>
        <v>0</v>
      </c>
      <c r="AN72" s="89">
        <f>$AI72*'Y2_3 Cash Flow Assumptions'!H72</f>
        <v>0</v>
      </c>
      <c r="AO72" s="89">
        <f>$AI72*'Y2_3 Cash Flow Assumptions'!I72</f>
        <v>0</v>
      </c>
      <c r="AP72" s="89">
        <f>$AI72*'Y2_3 Cash Flow Assumptions'!J72</f>
        <v>0</v>
      </c>
      <c r="AQ72" s="89">
        <f>$AI72*'Y2_3 Cash Flow Assumptions'!K72</f>
        <v>0</v>
      </c>
      <c r="AR72" s="89">
        <f>$AI72*'Y2_3 Cash Flow Assumptions'!L72</f>
        <v>0</v>
      </c>
      <c r="AS72" s="89">
        <f>$AI72*'Y2_3 Cash Flow Assumptions'!M72</f>
        <v>0</v>
      </c>
      <c r="AT72" s="89">
        <f>$AI72*'Y2_3 Cash Flow Assumptions'!N72</f>
        <v>0</v>
      </c>
      <c r="AU72" s="89">
        <f>$AI72*'Y2_3 Cash Flow Assumptions'!O72</f>
        <v>0</v>
      </c>
      <c r="AV72" s="89">
        <f>$AI72*'Y2_3 Cash Flow Assumptions'!P72</f>
        <v>0</v>
      </c>
      <c r="AW72" s="83" t="str">
        <f t="shared" si="14"/>
        <v/>
      </c>
    </row>
    <row r="73" spans="1:49">
      <c r="A73" s="23"/>
      <c r="B73" s="24" t="s">
        <v>54</v>
      </c>
      <c r="C73" s="89">
        <f>'Budget Summary'!C69</f>
        <v>0</v>
      </c>
      <c r="D73" s="90">
        <f>$C73*'Y1 Cash Flow Assumptions'!D73</f>
        <v>0</v>
      </c>
      <c r="E73" s="90">
        <f>$C73*'Y1 Cash Flow Assumptions'!E73</f>
        <v>0</v>
      </c>
      <c r="F73" s="90">
        <f>$C73*'Y1 Cash Flow Assumptions'!F73</f>
        <v>0</v>
      </c>
      <c r="G73" s="90">
        <f>$C73*'Y1 Cash Flow Assumptions'!G73</f>
        <v>0</v>
      </c>
      <c r="H73" s="90">
        <f>$C73*'Y1 Cash Flow Assumptions'!H73</f>
        <v>0</v>
      </c>
      <c r="I73" s="90">
        <f>$C73*'Y1 Cash Flow Assumptions'!I73</f>
        <v>0</v>
      </c>
      <c r="J73" s="90">
        <f>$C73*'Y1 Cash Flow Assumptions'!J73</f>
        <v>0</v>
      </c>
      <c r="K73" s="90">
        <f>$C73*'Y1 Cash Flow Assumptions'!K73</f>
        <v>0</v>
      </c>
      <c r="L73" s="90">
        <f>$C73*'Y1 Cash Flow Assumptions'!L73</f>
        <v>0</v>
      </c>
      <c r="M73" s="90">
        <f>$C73*'Y1 Cash Flow Assumptions'!M73</f>
        <v>0</v>
      </c>
      <c r="N73" s="90">
        <f>$C73*'Y1 Cash Flow Assumptions'!N73</f>
        <v>0</v>
      </c>
      <c r="O73" s="90">
        <f>$C73*'Y1 Cash Flow Assumptions'!O73</f>
        <v>0</v>
      </c>
      <c r="P73" s="90">
        <f>$C73*'Y1 Cash Flow Assumptions'!P73</f>
        <v>0</v>
      </c>
      <c r="Q73" s="103" t="str">
        <f t="shared" si="12"/>
        <v/>
      </c>
      <c r="S73" s="89">
        <f>'Budget Summary'!D69</f>
        <v>0</v>
      </c>
      <c r="T73" s="90">
        <f>$S73*'Y2_3 Cash Flow Assumptions'!D73</f>
        <v>0</v>
      </c>
      <c r="U73" s="90">
        <f>$S73*'Y2_3 Cash Flow Assumptions'!E73</f>
        <v>0</v>
      </c>
      <c r="V73" s="90">
        <f>$S73*'Y2_3 Cash Flow Assumptions'!F73</f>
        <v>0</v>
      </c>
      <c r="W73" s="90">
        <f>$S73*'Y2_3 Cash Flow Assumptions'!G73</f>
        <v>0</v>
      </c>
      <c r="X73" s="90">
        <f>$S73*'Y2_3 Cash Flow Assumptions'!H73</f>
        <v>0</v>
      </c>
      <c r="Y73" s="90">
        <f>$S73*'Y2_3 Cash Flow Assumptions'!I73</f>
        <v>0</v>
      </c>
      <c r="Z73" s="90">
        <f>$S73*'Y2_3 Cash Flow Assumptions'!J73</f>
        <v>0</v>
      </c>
      <c r="AA73" s="90">
        <f>$S73*'Y2_3 Cash Flow Assumptions'!K73</f>
        <v>0</v>
      </c>
      <c r="AB73" s="90">
        <f>$S73*'Y2_3 Cash Flow Assumptions'!L73</f>
        <v>0</v>
      </c>
      <c r="AC73" s="90">
        <f>$S73*'Y2_3 Cash Flow Assumptions'!M73</f>
        <v>0</v>
      </c>
      <c r="AD73" s="90">
        <f>$S73*'Y2_3 Cash Flow Assumptions'!N73</f>
        <v>0</v>
      </c>
      <c r="AE73" s="90">
        <f>$S73*'Y2_3 Cash Flow Assumptions'!O73</f>
        <v>0</v>
      </c>
      <c r="AF73" s="89">
        <f>$S73*'Y2_3 Cash Flow Assumptions'!P73</f>
        <v>0</v>
      </c>
      <c r="AG73" s="103" t="str">
        <f t="shared" si="13"/>
        <v/>
      </c>
      <c r="AI73" s="89">
        <f>'Budget Summary'!E69</f>
        <v>0</v>
      </c>
      <c r="AJ73" s="89">
        <f>$AI73*'Y2_3 Cash Flow Assumptions'!D73</f>
        <v>0</v>
      </c>
      <c r="AK73" s="89">
        <f>$AI73*'Y2_3 Cash Flow Assumptions'!E73</f>
        <v>0</v>
      </c>
      <c r="AL73" s="89">
        <f>$AI73*'Y2_3 Cash Flow Assumptions'!F73</f>
        <v>0</v>
      </c>
      <c r="AM73" s="89">
        <f>$AI73*'Y2_3 Cash Flow Assumptions'!G73</f>
        <v>0</v>
      </c>
      <c r="AN73" s="89">
        <f>$AI73*'Y2_3 Cash Flow Assumptions'!H73</f>
        <v>0</v>
      </c>
      <c r="AO73" s="89">
        <f>$AI73*'Y2_3 Cash Flow Assumptions'!I73</f>
        <v>0</v>
      </c>
      <c r="AP73" s="89">
        <f>$AI73*'Y2_3 Cash Flow Assumptions'!J73</f>
        <v>0</v>
      </c>
      <c r="AQ73" s="89">
        <f>$AI73*'Y2_3 Cash Flow Assumptions'!K73</f>
        <v>0</v>
      </c>
      <c r="AR73" s="89">
        <f>$AI73*'Y2_3 Cash Flow Assumptions'!L73</f>
        <v>0</v>
      </c>
      <c r="AS73" s="89">
        <f>$AI73*'Y2_3 Cash Flow Assumptions'!M73</f>
        <v>0</v>
      </c>
      <c r="AT73" s="89">
        <f>$AI73*'Y2_3 Cash Flow Assumptions'!N73</f>
        <v>0</v>
      </c>
      <c r="AU73" s="89">
        <f>$AI73*'Y2_3 Cash Flow Assumptions'!O73</f>
        <v>0</v>
      </c>
      <c r="AV73" s="89">
        <f>$AI73*'Y2_3 Cash Flow Assumptions'!P73</f>
        <v>0</v>
      </c>
      <c r="AW73" s="83" t="str">
        <f t="shared" si="14"/>
        <v/>
      </c>
    </row>
    <row r="74" spans="1:49">
      <c r="A74" s="23" t="s">
        <v>52</v>
      </c>
      <c r="C74" s="88">
        <f>SUM(C68:C73)</f>
        <v>155000</v>
      </c>
      <c r="D74" s="88">
        <f t="shared" ref="D74:P74" si="135">SUM(D68:D73)</f>
        <v>38750</v>
      </c>
      <c r="E74" s="88">
        <f t="shared" si="135"/>
        <v>38750</v>
      </c>
      <c r="F74" s="88">
        <f t="shared" si="135"/>
        <v>38750</v>
      </c>
      <c r="G74" s="88">
        <f t="shared" si="135"/>
        <v>4305.5555555555547</v>
      </c>
      <c r="H74" s="88">
        <f t="shared" si="135"/>
        <v>4305.5555555555547</v>
      </c>
      <c r="I74" s="88">
        <f t="shared" si="135"/>
        <v>4305.5555555555547</v>
      </c>
      <c r="J74" s="88">
        <f t="shared" si="135"/>
        <v>4305.5555555555547</v>
      </c>
      <c r="K74" s="88">
        <f t="shared" si="135"/>
        <v>4305.5555555555547</v>
      </c>
      <c r="L74" s="88">
        <f t="shared" si="135"/>
        <v>4305.5555555555547</v>
      </c>
      <c r="M74" s="88">
        <f t="shared" si="135"/>
        <v>4305.5555555555547</v>
      </c>
      <c r="N74" s="88">
        <f t="shared" si="135"/>
        <v>4305.5555555555547</v>
      </c>
      <c r="O74" s="88">
        <f t="shared" si="135"/>
        <v>4305.5555555555547</v>
      </c>
      <c r="P74" s="88">
        <f t="shared" si="135"/>
        <v>0</v>
      </c>
      <c r="Q74" s="103" t="str">
        <f t="shared" si="12"/>
        <v/>
      </c>
      <c r="S74" s="88">
        <f>SUM(S68:S73)</f>
        <v>155000</v>
      </c>
      <c r="T74" s="88">
        <f t="shared" ref="T74" si="136">SUM(T68:T73)</f>
        <v>38750</v>
      </c>
      <c r="U74" s="88">
        <f t="shared" ref="U74" si="137">SUM(U68:U73)</f>
        <v>38750</v>
      </c>
      <c r="V74" s="88">
        <f t="shared" ref="V74" si="138">SUM(V68:V73)</f>
        <v>38750</v>
      </c>
      <c r="W74" s="88">
        <f t="shared" ref="W74" si="139">SUM(W68:W73)</f>
        <v>4305.5555555555547</v>
      </c>
      <c r="X74" s="88">
        <f t="shared" ref="X74" si="140">SUM(X68:X73)</f>
        <v>4305.5555555555547</v>
      </c>
      <c r="Y74" s="88">
        <f t="shared" ref="Y74" si="141">SUM(Y68:Y73)</f>
        <v>4305.5555555555547</v>
      </c>
      <c r="Z74" s="88">
        <f t="shared" ref="Z74" si="142">SUM(Z68:Z73)</f>
        <v>4305.5555555555547</v>
      </c>
      <c r="AA74" s="88">
        <f t="shared" ref="AA74" si="143">SUM(AA68:AA73)</f>
        <v>4305.5555555555547</v>
      </c>
      <c r="AB74" s="88">
        <f t="shared" ref="AB74" si="144">SUM(AB68:AB73)</f>
        <v>4305.5555555555547</v>
      </c>
      <c r="AC74" s="88">
        <f t="shared" ref="AC74" si="145">SUM(AC68:AC73)</f>
        <v>4305.5555555555547</v>
      </c>
      <c r="AD74" s="88">
        <f t="shared" ref="AD74" si="146">SUM(AD68:AD73)</f>
        <v>4305.5555555555547</v>
      </c>
      <c r="AE74" s="88">
        <f t="shared" ref="AE74" si="147">SUM(AE68:AE73)</f>
        <v>4305.5555555555547</v>
      </c>
      <c r="AF74" s="89">
        <f t="shared" ref="AF74" si="148">SUM(AF68:AF73)</f>
        <v>0</v>
      </c>
      <c r="AG74" s="103" t="str">
        <f t="shared" si="13"/>
        <v/>
      </c>
      <c r="AI74" s="88">
        <f>SUM(AI68:AI73)</f>
        <v>155000</v>
      </c>
      <c r="AJ74" s="88">
        <f t="shared" ref="AJ74:AV74" si="149">SUM(AJ68:AJ73)</f>
        <v>38750</v>
      </c>
      <c r="AK74" s="88">
        <f t="shared" si="149"/>
        <v>38750</v>
      </c>
      <c r="AL74" s="88">
        <f t="shared" si="149"/>
        <v>38750</v>
      </c>
      <c r="AM74" s="88">
        <f t="shared" si="149"/>
        <v>4305.5555555555547</v>
      </c>
      <c r="AN74" s="88">
        <f t="shared" si="149"/>
        <v>4305.5555555555547</v>
      </c>
      <c r="AO74" s="88">
        <f t="shared" si="149"/>
        <v>4305.5555555555547</v>
      </c>
      <c r="AP74" s="88">
        <f t="shared" si="149"/>
        <v>4305.5555555555547</v>
      </c>
      <c r="AQ74" s="88">
        <f t="shared" si="149"/>
        <v>4305.5555555555547</v>
      </c>
      <c r="AR74" s="88">
        <f t="shared" si="149"/>
        <v>4305.5555555555547</v>
      </c>
      <c r="AS74" s="88">
        <f t="shared" si="149"/>
        <v>4305.5555555555547</v>
      </c>
      <c r="AT74" s="88">
        <f t="shared" si="149"/>
        <v>4305.5555555555547</v>
      </c>
      <c r="AU74" s="88">
        <f t="shared" si="149"/>
        <v>4305.5555555555547</v>
      </c>
      <c r="AV74" s="88">
        <f t="shared" si="149"/>
        <v>0</v>
      </c>
      <c r="AW74" s="83" t="str">
        <f t="shared" si="14"/>
        <v/>
      </c>
    </row>
    <row r="75" spans="1:49">
      <c r="A75" s="23" t="s">
        <v>58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103" t="str">
        <f t="shared" ref="Q75:Q100" si="150">IF(SUM(D75:P75)=C75,"","!")</f>
        <v/>
      </c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103" t="str">
        <f t="shared" ref="AG75:AG100" si="151">IF(SUM(T75:AF75)=S75,"","!")</f>
        <v/>
      </c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3" t="str">
        <f t="shared" ref="AW75:AW100" si="152">IF(SUM(AJ75:AV75)=AI75,"","!")</f>
        <v/>
      </c>
    </row>
    <row r="76" spans="1:49">
      <c r="A76" s="23"/>
      <c r="B76" s="24" t="s">
        <v>22</v>
      </c>
      <c r="C76" s="89">
        <f>'Budget Summary'!C72</f>
        <v>3000</v>
      </c>
      <c r="D76" s="90">
        <f>$C76*'Y1 Cash Flow Assumptions'!D76</f>
        <v>250</v>
      </c>
      <c r="E76" s="90">
        <f>$C76*'Y1 Cash Flow Assumptions'!E76</f>
        <v>250</v>
      </c>
      <c r="F76" s="90">
        <f>$C76*'Y1 Cash Flow Assumptions'!F76</f>
        <v>250</v>
      </c>
      <c r="G76" s="90">
        <f>$C76*'Y1 Cash Flow Assumptions'!G76</f>
        <v>250</v>
      </c>
      <c r="H76" s="90">
        <f>$C76*'Y1 Cash Flow Assumptions'!H76</f>
        <v>250</v>
      </c>
      <c r="I76" s="90">
        <f>$C76*'Y1 Cash Flow Assumptions'!I76</f>
        <v>250</v>
      </c>
      <c r="J76" s="90">
        <f>$C76*'Y1 Cash Flow Assumptions'!J76</f>
        <v>250</v>
      </c>
      <c r="K76" s="90">
        <f>$C76*'Y1 Cash Flow Assumptions'!K76</f>
        <v>250</v>
      </c>
      <c r="L76" s="90">
        <f>$C76*'Y1 Cash Flow Assumptions'!L76</f>
        <v>250</v>
      </c>
      <c r="M76" s="90">
        <f>$C76*'Y1 Cash Flow Assumptions'!M76</f>
        <v>250</v>
      </c>
      <c r="N76" s="90">
        <f>$C76*'Y1 Cash Flow Assumptions'!N76</f>
        <v>250</v>
      </c>
      <c r="O76" s="90">
        <f>$C76*'Y1 Cash Flow Assumptions'!O76</f>
        <v>250</v>
      </c>
      <c r="P76" s="90">
        <f>$C76*'Y1 Cash Flow Assumptions'!P76</f>
        <v>0</v>
      </c>
      <c r="Q76" s="103" t="str">
        <f t="shared" si="150"/>
        <v/>
      </c>
      <c r="S76" s="89">
        <f>'Budget Summary'!D72</f>
        <v>3000</v>
      </c>
      <c r="T76" s="90">
        <f>$S76*'Y2_3 Cash Flow Assumptions'!D76</f>
        <v>250</v>
      </c>
      <c r="U76" s="90">
        <f>$S76*'Y2_3 Cash Flow Assumptions'!E76</f>
        <v>250</v>
      </c>
      <c r="V76" s="90">
        <f>$S76*'Y2_3 Cash Flow Assumptions'!F76</f>
        <v>250</v>
      </c>
      <c r="W76" s="90">
        <f>$S76*'Y2_3 Cash Flow Assumptions'!G76</f>
        <v>250</v>
      </c>
      <c r="X76" s="90">
        <f>$S76*'Y2_3 Cash Flow Assumptions'!H76</f>
        <v>250</v>
      </c>
      <c r="Y76" s="90">
        <f>$S76*'Y2_3 Cash Flow Assumptions'!I76</f>
        <v>250</v>
      </c>
      <c r="Z76" s="90">
        <f>$S76*'Y2_3 Cash Flow Assumptions'!J76</f>
        <v>250</v>
      </c>
      <c r="AA76" s="90">
        <f>$S76*'Y2_3 Cash Flow Assumptions'!K76</f>
        <v>250</v>
      </c>
      <c r="AB76" s="90">
        <f>$S76*'Y2_3 Cash Flow Assumptions'!L76</f>
        <v>250</v>
      </c>
      <c r="AC76" s="90">
        <f>$S76*'Y2_3 Cash Flow Assumptions'!M76</f>
        <v>250</v>
      </c>
      <c r="AD76" s="90">
        <f>$S76*'Y2_3 Cash Flow Assumptions'!N76</f>
        <v>250</v>
      </c>
      <c r="AE76" s="90">
        <f>$S76*'Y2_3 Cash Flow Assumptions'!O76</f>
        <v>250</v>
      </c>
      <c r="AF76" s="89">
        <f>$S76*'Y2_3 Cash Flow Assumptions'!P76</f>
        <v>0</v>
      </c>
      <c r="AG76" s="103" t="str">
        <f t="shared" si="151"/>
        <v/>
      </c>
      <c r="AI76" s="89">
        <f>'Budget Summary'!E72</f>
        <v>3000</v>
      </c>
      <c r="AJ76" s="89">
        <f>$AI76*'Y2_3 Cash Flow Assumptions'!D76</f>
        <v>250</v>
      </c>
      <c r="AK76" s="89">
        <f>$AI76*'Y2_3 Cash Flow Assumptions'!E76</f>
        <v>250</v>
      </c>
      <c r="AL76" s="89">
        <f>$AI76*'Y2_3 Cash Flow Assumptions'!F76</f>
        <v>250</v>
      </c>
      <c r="AM76" s="89">
        <f>$AI76*'Y2_3 Cash Flow Assumptions'!G76</f>
        <v>250</v>
      </c>
      <c r="AN76" s="89">
        <f>$AI76*'Y2_3 Cash Flow Assumptions'!H76</f>
        <v>250</v>
      </c>
      <c r="AO76" s="89">
        <f>$AI76*'Y2_3 Cash Flow Assumptions'!I76</f>
        <v>250</v>
      </c>
      <c r="AP76" s="89">
        <f>$AI76*'Y2_3 Cash Flow Assumptions'!J76</f>
        <v>250</v>
      </c>
      <c r="AQ76" s="89">
        <f>$AI76*'Y2_3 Cash Flow Assumptions'!K76</f>
        <v>250</v>
      </c>
      <c r="AR76" s="89">
        <f>$AI76*'Y2_3 Cash Flow Assumptions'!L76</f>
        <v>250</v>
      </c>
      <c r="AS76" s="89">
        <f>$AI76*'Y2_3 Cash Flow Assumptions'!M76</f>
        <v>250</v>
      </c>
      <c r="AT76" s="89">
        <f>$AI76*'Y2_3 Cash Flow Assumptions'!N76</f>
        <v>250</v>
      </c>
      <c r="AU76" s="89">
        <f>$AI76*'Y2_3 Cash Flow Assumptions'!O76</f>
        <v>250</v>
      </c>
      <c r="AV76" s="89">
        <f>$AI76*'Y2_3 Cash Flow Assumptions'!P76</f>
        <v>0</v>
      </c>
      <c r="AW76" s="83" t="str">
        <f t="shared" si="152"/>
        <v/>
      </c>
    </row>
    <row r="77" spans="1:49">
      <c r="A77" s="23"/>
      <c r="B77" s="24" t="s">
        <v>23</v>
      </c>
      <c r="C77" s="89">
        <f>'Budget Summary'!C73</f>
        <v>2500</v>
      </c>
      <c r="D77" s="90">
        <f>$C77*'Y1 Cash Flow Assumptions'!D77</f>
        <v>208.33333333333331</v>
      </c>
      <c r="E77" s="90">
        <f>$C77*'Y1 Cash Flow Assumptions'!E77</f>
        <v>208.33333333333331</v>
      </c>
      <c r="F77" s="90">
        <f>$C77*'Y1 Cash Flow Assumptions'!F77</f>
        <v>208.33333333333331</v>
      </c>
      <c r="G77" s="90">
        <f>$C77*'Y1 Cash Flow Assumptions'!G77</f>
        <v>208.33333333333331</v>
      </c>
      <c r="H77" s="90">
        <f>$C77*'Y1 Cash Flow Assumptions'!H77</f>
        <v>208.33333333333331</v>
      </c>
      <c r="I77" s="90">
        <f>$C77*'Y1 Cash Flow Assumptions'!I77</f>
        <v>208.33333333333331</v>
      </c>
      <c r="J77" s="90">
        <f>$C77*'Y1 Cash Flow Assumptions'!J77</f>
        <v>208.33333333333331</v>
      </c>
      <c r="K77" s="90">
        <f>$C77*'Y1 Cash Flow Assumptions'!K77</f>
        <v>208.33333333333331</v>
      </c>
      <c r="L77" s="90">
        <f>$C77*'Y1 Cash Flow Assumptions'!L77</f>
        <v>208.33333333333331</v>
      </c>
      <c r="M77" s="90">
        <f>$C77*'Y1 Cash Flow Assumptions'!M77</f>
        <v>208.33333333333331</v>
      </c>
      <c r="N77" s="90">
        <f>$C77*'Y1 Cash Flow Assumptions'!N77</f>
        <v>208.33333333333331</v>
      </c>
      <c r="O77" s="90">
        <f>$C77*'Y1 Cash Flow Assumptions'!O77</f>
        <v>208.33333333333331</v>
      </c>
      <c r="P77" s="90">
        <f>$C77*'Y1 Cash Flow Assumptions'!P77</f>
        <v>0</v>
      </c>
      <c r="Q77" s="103" t="str">
        <f t="shared" si="150"/>
        <v/>
      </c>
      <c r="S77" s="89">
        <f>'Budget Summary'!D73</f>
        <v>2500</v>
      </c>
      <c r="T77" s="90">
        <f>$S77*'Y2_3 Cash Flow Assumptions'!D77</f>
        <v>208.33333333333331</v>
      </c>
      <c r="U77" s="90">
        <f>$S77*'Y2_3 Cash Flow Assumptions'!E77</f>
        <v>208.33333333333331</v>
      </c>
      <c r="V77" s="90">
        <f>$S77*'Y2_3 Cash Flow Assumptions'!F77</f>
        <v>208.33333333333331</v>
      </c>
      <c r="W77" s="90">
        <f>$S77*'Y2_3 Cash Flow Assumptions'!G77</f>
        <v>208.33333333333331</v>
      </c>
      <c r="X77" s="90">
        <f>$S77*'Y2_3 Cash Flow Assumptions'!H77</f>
        <v>208.33333333333331</v>
      </c>
      <c r="Y77" s="90">
        <f>$S77*'Y2_3 Cash Flow Assumptions'!I77</f>
        <v>208.33333333333331</v>
      </c>
      <c r="Z77" s="90">
        <f>$S77*'Y2_3 Cash Flow Assumptions'!J77</f>
        <v>208.33333333333331</v>
      </c>
      <c r="AA77" s="90">
        <f>$S77*'Y2_3 Cash Flow Assumptions'!K77</f>
        <v>208.33333333333331</v>
      </c>
      <c r="AB77" s="90">
        <f>$S77*'Y2_3 Cash Flow Assumptions'!L77</f>
        <v>208.33333333333331</v>
      </c>
      <c r="AC77" s="90">
        <f>$S77*'Y2_3 Cash Flow Assumptions'!M77</f>
        <v>208.33333333333331</v>
      </c>
      <c r="AD77" s="90">
        <f>$S77*'Y2_3 Cash Flow Assumptions'!N77</f>
        <v>208.33333333333331</v>
      </c>
      <c r="AE77" s="90">
        <f>$S77*'Y2_3 Cash Flow Assumptions'!O77</f>
        <v>208.33333333333331</v>
      </c>
      <c r="AF77" s="89">
        <f>$S77*'Y2_3 Cash Flow Assumptions'!P77</f>
        <v>0</v>
      </c>
      <c r="AG77" s="103" t="str">
        <f t="shared" si="151"/>
        <v/>
      </c>
      <c r="AI77" s="89">
        <f>'Budget Summary'!E73</f>
        <v>2500</v>
      </c>
      <c r="AJ77" s="89">
        <f>$AI77*'Y2_3 Cash Flow Assumptions'!D77</f>
        <v>208.33333333333331</v>
      </c>
      <c r="AK77" s="89">
        <f>$AI77*'Y2_3 Cash Flow Assumptions'!E77</f>
        <v>208.33333333333331</v>
      </c>
      <c r="AL77" s="89">
        <f>$AI77*'Y2_3 Cash Flow Assumptions'!F77</f>
        <v>208.33333333333331</v>
      </c>
      <c r="AM77" s="89">
        <f>$AI77*'Y2_3 Cash Flow Assumptions'!G77</f>
        <v>208.33333333333331</v>
      </c>
      <c r="AN77" s="89">
        <f>$AI77*'Y2_3 Cash Flow Assumptions'!H77</f>
        <v>208.33333333333331</v>
      </c>
      <c r="AO77" s="89">
        <f>$AI77*'Y2_3 Cash Flow Assumptions'!I77</f>
        <v>208.33333333333331</v>
      </c>
      <c r="AP77" s="89">
        <f>$AI77*'Y2_3 Cash Flow Assumptions'!J77</f>
        <v>208.33333333333331</v>
      </c>
      <c r="AQ77" s="89">
        <f>$AI77*'Y2_3 Cash Flow Assumptions'!K77</f>
        <v>208.33333333333331</v>
      </c>
      <c r="AR77" s="89">
        <f>$AI77*'Y2_3 Cash Flow Assumptions'!L77</f>
        <v>208.33333333333331</v>
      </c>
      <c r="AS77" s="89">
        <f>$AI77*'Y2_3 Cash Flow Assumptions'!M77</f>
        <v>208.33333333333331</v>
      </c>
      <c r="AT77" s="89">
        <f>$AI77*'Y2_3 Cash Flow Assumptions'!N77</f>
        <v>208.33333333333331</v>
      </c>
      <c r="AU77" s="89">
        <f>$AI77*'Y2_3 Cash Flow Assumptions'!O77</f>
        <v>208.33333333333331</v>
      </c>
      <c r="AV77" s="89">
        <f>$AI77*'Y2_3 Cash Flow Assumptions'!P77</f>
        <v>0</v>
      </c>
      <c r="AW77" s="83" t="str">
        <f t="shared" si="152"/>
        <v/>
      </c>
    </row>
    <row r="78" spans="1:49">
      <c r="A78" s="23"/>
      <c r="B78" s="24" t="s">
        <v>269</v>
      </c>
      <c r="C78" s="89">
        <f>'Budget Summary'!C74</f>
        <v>35000</v>
      </c>
      <c r="D78" s="90">
        <f>$C78*'Y1 Cash Flow Assumptions'!D78</f>
        <v>10500</v>
      </c>
      <c r="E78" s="90">
        <f>$C78*'Y1 Cash Flow Assumptions'!E78</f>
        <v>2227.272727272727</v>
      </c>
      <c r="F78" s="90">
        <f>$C78*'Y1 Cash Flow Assumptions'!F78</f>
        <v>2227.272727272727</v>
      </c>
      <c r="G78" s="90">
        <f>$C78*'Y1 Cash Flow Assumptions'!G78</f>
        <v>2227.272727272727</v>
      </c>
      <c r="H78" s="90">
        <f>$C78*'Y1 Cash Flow Assumptions'!H78</f>
        <v>2227.272727272727</v>
      </c>
      <c r="I78" s="90">
        <f>$C78*'Y1 Cash Flow Assumptions'!I78</f>
        <v>2227.272727272727</v>
      </c>
      <c r="J78" s="90">
        <f>$C78*'Y1 Cash Flow Assumptions'!J78</f>
        <v>2227.272727272727</v>
      </c>
      <c r="K78" s="90">
        <f>$C78*'Y1 Cash Flow Assumptions'!K78</f>
        <v>2227.272727272727</v>
      </c>
      <c r="L78" s="90">
        <f>$C78*'Y1 Cash Flow Assumptions'!L78</f>
        <v>2227.272727272727</v>
      </c>
      <c r="M78" s="90">
        <f>$C78*'Y1 Cash Flow Assumptions'!M78</f>
        <v>2227.272727272727</v>
      </c>
      <c r="N78" s="90">
        <f>$C78*'Y1 Cash Flow Assumptions'!N78</f>
        <v>2227.272727272727</v>
      </c>
      <c r="O78" s="90">
        <f>$C78*'Y1 Cash Flow Assumptions'!O78</f>
        <v>2227.272727272727</v>
      </c>
      <c r="P78" s="90">
        <f>$C78*'Y1 Cash Flow Assumptions'!P78</f>
        <v>0</v>
      </c>
      <c r="Q78" s="103" t="str">
        <f t="shared" si="150"/>
        <v/>
      </c>
      <c r="S78" s="89">
        <f>'Budget Summary'!D74</f>
        <v>35000</v>
      </c>
      <c r="T78" s="90">
        <f>$S78*'Y2_3 Cash Flow Assumptions'!D78</f>
        <v>10500</v>
      </c>
      <c r="U78" s="90">
        <f>$S78*'Y2_3 Cash Flow Assumptions'!E78</f>
        <v>2227.272727272727</v>
      </c>
      <c r="V78" s="90">
        <f>$S78*'Y2_3 Cash Flow Assumptions'!F78</f>
        <v>2227.272727272727</v>
      </c>
      <c r="W78" s="90">
        <f>$S78*'Y2_3 Cash Flow Assumptions'!G78</f>
        <v>2227.272727272727</v>
      </c>
      <c r="X78" s="90">
        <f>$S78*'Y2_3 Cash Flow Assumptions'!H78</f>
        <v>2227.272727272727</v>
      </c>
      <c r="Y78" s="90">
        <f>$S78*'Y2_3 Cash Flow Assumptions'!I78</f>
        <v>2227.272727272727</v>
      </c>
      <c r="Z78" s="90">
        <f>$S78*'Y2_3 Cash Flow Assumptions'!J78</f>
        <v>2227.272727272727</v>
      </c>
      <c r="AA78" s="90">
        <f>$S78*'Y2_3 Cash Flow Assumptions'!K78</f>
        <v>2227.272727272727</v>
      </c>
      <c r="AB78" s="90">
        <f>$S78*'Y2_3 Cash Flow Assumptions'!L78</f>
        <v>2227.272727272727</v>
      </c>
      <c r="AC78" s="90">
        <f>$S78*'Y2_3 Cash Flow Assumptions'!M78</f>
        <v>2227.272727272727</v>
      </c>
      <c r="AD78" s="90">
        <f>$S78*'Y2_3 Cash Flow Assumptions'!N78</f>
        <v>2227.272727272727</v>
      </c>
      <c r="AE78" s="90">
        <f>$S78*'Y2_3 Cash Flow Assumptions'!O78</f>
        <v>2227.272727272727</v>
      </c>
      <c r="AF78" s="89">
        <f>$S78*'Y2_3 Cash Flow Assumptions'!P78</f>
        <v>0</v>
      </c>
      <c r="AG78" s="103" t="str">
        <f t="shared" si="151"/>
        <v/>
      </c>
      <c r="AI78" s="89">
        <f>'Budget Summary'!E74</f>
        <v>35000</v>
      </c>
      <c r="AJ78" s="89">
        <f>$AI78*'Y2_3 Cash Flow Assumptions'!D78</f>
        <v>10500</v>
      </c>
      <c r="AK78" s="89">
        <f>$AI78*'Y2_3 Cash Flow Assumptions'!E78</f>
        <v>2227.272727272727</v>
      </c>
      <c r="AL78" s="89">
        <f>$AI78*'Y2_3 Cash Flow Assumptions'!F78</f>
        <v>2227.272727272727</v>
      </c>
      <c r="AM78" s="89">
        <f>$AI78*'Y2_3 Cash Flow Assumptions'!G78</f>
        <v>2227.272727272727</v>
      </c>
      <c r="AN78" s="89">
        <f>$AI78*'Y2_3 Cash Flow Assumptions'!H78</f>
        <v>2227.272727272727</v>
      </c>
      <c r="AO78" s="89">
        <f>$AI78*'Y2_3 Cash Flow Assumptions'!I78</f>
        <v>2227.272727272727</v>
      </c>
      <c r="AP78" s="89">
        <f>$AI78*'Y2_3 Cash Flow Assumptions'!J78</f>
        <v>2227.272727272727</v>
      </c>
      <c r="AQ78" s="89">
        <f>$AI78*'Y2_3 Cash Flow Assumptions'!K78</f>
        <v>2227.272727272727</v>
      </c>
      <c r="AR78" s="89">
        <f>$AI78*'Y2_3 Cash Flow Assumptions'!L78</f>
        <v>2227.272727272727</v>
      </c>
      <c r="AS78" s="89">
        <f>$AI78*'Y2_3 Cash Flow Assumptions'!M78</f>
        <v>2227.272727272727</v>
      </c>
      <c r="AT78" s="89">
        <f>$AI78*'Y2_3 Cash Flow Assumptions'!N78</f>
        <v>2227.272727272727</v>
      </c>
      <c r="AU78" s="89">
        <f>$AI78*'Y2_3 Cash Flow Assumptions'!O78</f>
        <v>2227.272727272727</v>
      </c>
      <c r="AV78" s="89">
        <f>$AI78*'Y2_3 Cash Flow Assumptions'!P78</f>
        <v>0</v>
      </c>
      <c r="AW78" s="83" t="str">
        <f t="shared" si="152"/>
        <v/>
      </c>
    </row>
    <row r="79" spans="1:49">
      <c r="A79" s="23"/>
      <c r="B79" s="24" t="s">
        <v>60</v>
      </c>
      <c r="C79" s="89">
        <f>'Budget Summary'!C75</f>
        <v>14400</v>
      </c>
      <c r="D79" s="90">
        <f>$C79*'Y1 Cash Flow Assumptions'!D79</f>
        <v>1200</v>
      </c>
      <c r="E79" s="90">
        <f>$C79*'Y1 Cash Flow Assumptions'!E79</f>
        <v>1200</v>
      </c>
      <c r="F79" s="90">
        <f>$C79*'Y1 Cash Flow Assumptions'!F79</f>
        <v>1200</v>
      </c>
      <c r="G79" s="90">
        <f>$C79*'Y1 Cash Flow Assumptions'!G79</f>
        <v>1200</v>
      </c>
      <c r="H79" s="90">
        <f>$C79*'Y1 Cash Flow Assumptions'!H79</f>
        <v>1200</v>
      </c>
      <c r="I79" s="90">
        <f>$C79*'Y1 Cash Flow Assumptions'!I79</f>
        <v>1200</v>
      </c>
      <c r="J79" s="90">
        <f>$C79*'Y1 Cash Flow Assumptions'!J79</f>
        <v>1200</v>
      </c>
      <c r="K79" s="90">
        <f>$C79*'Y1 Cash Flow Assumptions'!K79</f>
        <v>1200</v>
      </c>
      <c r="L79" s="90">
        <f>$C79*'Y1 Cash Flow Assumptions'!L79</f>
        <v>1200</v>
      </c>
      <c r="M79" s="90">
        <f>$C79*'Y1 Cash Flow Assumptions'!M79</f>
        <v>1200</v>
      </c>
      <c r="N79" s="90">
        <f>$C79*'Y1 Cash Flow Assumptions'!N79</f>
        <v>1200</v>
      </c>
      <c r="O79" s="90">
        <f>$C79*'Y1 Cash Flow Assumptions'!O79</f>
        <v>1200</v>
      </c>
      <c r="P79" s="90">
        <f>$C79*'Y1 Cash Flow Assumptions'!P79</f>
        <v>0</v>
      </c>
      <c r="Q79" s="103" t="str">
        <f t="shared" si="150"/>
        <v/>
      </c>
      <c r="S79" s="89">
        <f>'Budget Summary'!D75</f>
        <v>14400</v>
      </c>
      <c r="T79" s="90">
        <f>$S79*'Y2_3 Cash Flow Assumptions'!D79</f>
        <v>1200</v>
      </c>
      <c r="U79" s="90">
        <f>$S79*'Y2_3 Cash Flow Assumptions'!E79</f>
        <v>1200</v>
      </c>
      <c r="V79" s="90">
        <f>$S79*'Y2_3 Cash Flow Assumptions'!F79</f>
        <v>1200</v>
      </c>
      <c r="W79" s="90">
        <f>$S79*'Y2_3 Cash Flow Assumptions'!G79</f>
        <v>1200</v>
      </c>
      <c r="X79" s="90">
        <f>$S79*'Y2_3 Cash Flow Assumptions'!H79</f>
        <v>1200</v>
      </c>
      <c r="Y79" s="90">
        <f>$S79*'Y2_3 Cash Flow Assumptions'!I79</f>
        <v>1200</v>
      </c>
      <c r="Z79" s="90">
        <f>$S79*'Y2_3 Cash Flow Assumptions'!J79</f>
        <v>1200</v>
      </c>
      <c r="AA79" s="90">
        <f>$S79*'Y2_3 Cash Flow Assumptions'!K79</f>
        <v>1200</v>
      </c>
      <c r="AB79" s="90">
        <f>$S79*'Y2_3 Cash Flow Assumptions'!L79</f>
        <v>1200</v>
      </c>
      <c r="AC79" s="90">
        <f>$S79*'Y2_3 Cash Flow Assumptions'!M79</f>
        <v>1200</v>
      </c>
      <c r="AD79" s="90">
        <f>$S79*'Y2_3 Cash Flow Assumptions'!N79</f>
        <v>1200</v>
      </c>
      <c r="AE79" s="90">
        <f>$S79*'Y2_3 Cash Flow Assumptions'!O79</f>
        <v>1200</v>
      </c>
      <c r="AF79" s="89">
        <f>$S79*'Y2_3 Cash Flow Assumptions'!P79</f>
        <v>0</v>
      </c>
      <c r="AG79" s="103" t="str">
        <f t="shared" si="151"/>
        <v/>
      </c>
      <c r="AI79" s="89">
        <f>'Budget Summary'!E75</f>
        <v>14400</v>
      </c>
      <c r="AJ79" s="89">
        <f>$AI79*'Y2_3 Cash Flow Assumptions'!D79</f>
        <v>1200</v>
      </c>
      <c r="AK79" s="89">
        <f>$AI79*'Y2_3 Cash Flow Assumptions'!E79</f>
        <v>1200</v>
      </c>
      <c r="AL79" s="89">
        <f>$AI79*'Y2_3 Cash Flow Assumptions'!F79</f>
        <v>1200</v>
      </c>
      <c r="AM79" s="89">
        <f>$AI79*'Y2_3 Cash Flow Assumptions'!G79</f>
        <v>1200</v>
      </c>
      <c r="AN79" s="89">
        <f>$AI79*'Y2_3 Cash Flow Assumptions'!H79</f>
        <v>1200</v>
      </c>
      <c r="AO79" s="89">
        <f>$AI79*'Y2_3 Cash Flow Assumptions'!I79</f>
        <v>1200</v>
      </c>
      <c r="AP79" s="89">
        <f>$AI79*'Y2_3 Cash Flow Assumptions'!J79</f>
        <v>1200</v>
      </c>
      <c r="AQ79" s="89">
        <f>$AI79*'Y2_3 Cash Flow Assumptions'!K79</f>
        <v>1200</v>
      </c>
      <c r="AR79" s="89">
        <f>$AI79*'Y2_3 Cash Flow Assumptions'!L79</f>
        <v>1200</v>
      </c>
      <c r="AS79" s="89">
        <f>$AI79*'Y2_3 Cash Flow Assumptions'!M79</f>
        <v>1200</v>
      </c>
      <c r="AT79" s="89">
        <f>$AI79*'Y2_3 Cash Flow Assumptions'!N79</f>
        <v>1200</v>
      </c>
      <c r="AU79" s="89">
        <f>$AI79*'Y2_3 Cash Flow Assumptions'!O79</f>
        <v>1200</v>
      </c>
      <c r="AV79" s="89">
        <f>$AI79*'Y2_3 Cash Flow Assumptions'!P79</f>
        <v>0</v>
      </c>
      <c r="AW79" s="83" t="str">
        <f t="shared" si="152"/>
        <v/>
      </c>
    </row>
    <row r="80" spans="1:49">
      <c r="A80" s="23"/>
      <c r="B80" s="24" t="s">
        <v>61</v>
      </c>
      <c r="C80" s="89">
        <f>'Budget Summary'!C76</f>
        <v>48000</v>
      </c>
      <c r="D80" s="90">
        <f>$C80*'Y1 Cash Flow Assumptions'!D80</f>
        <v>4000</v>
      </c>
      <c r="E80" s="90">
        <f>$C80*'Y1 Cash Flow Assumptions'!E80</f>
        <v>4000</v>
      </c>
      <c r="F80" s="90">
        <f>$C80*'Y1 Cash Flow Assumptions'!F80</f>
        <v>4000</v>
      </c>
      <c r="G80" s="90">
        <f>$C80*'Y1 Cash Flow Assumptions'!G80</f>
        <v>4000</v>
      </c>
      <c r="H80" s="90">
        <f>$C80*'Y1 Cash Flow Assumptions'!H80</f>
        <v>4000</v>
      </c>
      <c r="I80" s="90">
        <f>$C80*'Y1 Cash Flow Assumptions'!I80</f>
        <v>4000</v>
      </c>
      <c r="J80" s="90">
        <f>$C80*'Y1 Cash Flow Assumptions'!J80</f>
        <v>4000</v>
      </c>
      <c r="K80" s="90">
        <f>$C80*'Y1 Cash Flow Assumptions'!K80</f>
        <v>4000</v>
      </c>
      <c r="L80" s="90">
        <f>$C80*'Y1 Cash Flow Assumptions'!L80</f>
        <v>4000</v>
      </c>
      <c r="M80" s="90">
        <f>$C80*'Y1 Cash Flow Assumptions'!M80</f>
        <v>4000</v>
      </c>
      <c r="N80" s="90">
        <f>$C80*'Y1 Cash Flow Assumptions'!N80</f>
        <v>4000</v>
      </c>
      <c r="O80" s="90">
        <f>$C80*'Y1 Cash Flow Assumptions'!O80</f>
        <v>4000</v>
      </c>
      <c r="P80" s="90">
        <f>$C80*'Y1 Cash Flow Assumptions'!P80</f>
        <v>0</v>
      </c>
      <c r="Q80" s="103" t="str">
        <f t="shared" si="150"/>
        <v/>
      </c>
      <c r="S80" s="89">
        <f>'Budget Summary'!D76</f>
        <v>48000</v>
      </c>
      <c r="T80" s="90">
        <f>$S80*'Y2_3 Cash Flow Assumptions'!D80</f>
        <v>4000</v>
      </c>
      <c r="U80" s="90">
        <f>$S80*'Y2_3 Cash Flow Assumptions'!E80</f>
        <v>4000</v>
      </c>
      <c r="V80" s="90">
        <f>$S80*'Y2_3 Cash Flow Assumptions'!F80</f>
        <v>4000</v>
      </c>
      <c r="W80" s="90">
        <f>$S80*'Y2_3 Cash Flow Assumptions'!G80</f>
        <v>4000</v>
      </c>
      <c r="X80" s="90">
        <f>$S80*'Y2_3 Cash Flow Assumptions'!H80</f>
        <v>4000</v>
      </c>
      <c r="Y80" s="90">
        <f>$S80*'Y2_3 Cash Flow Assumptions'!I80</f>
        <v>4000</v>
      </c>
      <c r="Z80" s="90">
        <f>$S80*'Y2_3 Cash Flow Assumptions'!J80</f>
        <v>4000</v>
      </c>
      <c r="AA80" s="90">
        <f>$S80*'Y2_3 Cash Flow Assumptions'!K80</f>
        <v>4000</v>
      </c>
      <c r="AB80" s="90">
        <f>$S80*'Y2_3 Cash Flow Assumptions'!L80</f>
        <v>4000</v>
      </c>
      <c r="AC80" s="90">
        <f>$S80*'Y2_3 Cash Flow Assumptions'!M80</f>
        <v>4000</v>
      </c>
      <c r="AD80" s="90">
        <f>$S80*'Y2_3 Cash Flow Assumptions'!N80</f>
        <v>4000</v>
      </c>
      <c r="AE80" s="90">
        <f>$S80*'Y2_3 Cash Flow Assumptions'!O80</f>
        <v>4000</v>
      </c>
      <c r="AF80" s="89">
        <f>$S80*'Y2_3 Cash Flow Assumptions'!P80</f>
        <v>0</v>
      </c>
      <c r="AG80" s="103" t="str">
        <f t="shared" si="151"/>
        <v/>
      </c>
      <c r="AI80" s="89">
        <f>'Budget Summary'!E76</f>
        <v>48000</v>
      </c>
      <c r="AJ80" s="89">
        <f>$AI80*'Y2_3 Cash Flow Assumptions'!D80</f>
        <v>4000</v>
      </c>
      <c r="AK80" s="89">
        <f>$AI80*'Y2_3 Cash Flow Assumptions'!E80</f>
        <v>4000</v>
      </c>
      <c r="AL80" s="89">
        <f>$AI80*'Y2_3 Cash Flow Assumptions'!F80</f>
        <v>4000</v>
      </c>
      <c r="AM80" s="89">
        <f>$AI80*'Y2_3 Cash Flow Assumptions'!G80</f>
        <v>4000</v>
      </c>
      <c r="AN80" s="89">
        <f>$AI80*'Y2_3 Cash Flow Assumptions'!H80</f>
        <v>4000</v>
      </c>
      <c r="AO80" s="89">
        <f>$AI80*'Y2_3 Cash Flow Assumptions'!I80</f>
        <v>4000</v>
      </c>
      <c r="AP80" s="89">
        <f>$AI80*'Y2_3 Cash Flow Assumptions'!J80</f>
        <v>4000</v>
      </c>
      <c r="AQ80" s="89">
        <f>$AI80*'Y2_3 Cash Flow Assumptions'!K80</f>
        <v>4000</v>
      </c>
      <c r="AR80" s="89">
        <f>$AI80*'Y2_3 Cash Flow Assumptions'!L80</f>
        <v>4000</v>
      </c>
      <c r="AS80" s="89">
        <f>$AI80*'Y2_3 Cash Flow Assumptions'!M80</f>
        <v>4000</v>
      </c>
      <c r="AT80" s="89">
        <f>$AI80*'Y2_3 Cash Flow Assumptions'!N80</f>
        <v>4000</v>
      </c>
      <c r="AU80" s="89">
        <f>$AI80*'Y2_3 Cash Flow Assumptions'!O80</f>
        <v>4000</v>
      </c>
      <c r="AV80" s="89">
        <f>$AI80*'Y2_3 Cash Flow Assumptions'!P80</f>
        <v>0</v>
      </c>
      <c r="AW80" s="83" t="str">
        <f t="shared" si="152"/>
        <v/>
      </c>
    </row>
    <row r="81" spans="1:49">
      <c r="A81" s="23"/>
      <c r="B81" s="24" t="s">
        <v>211</v>
      </c>
      <c r="C81" s="89">
        <f>'Budget Summary'!C77</f>
        <v>0</v>
      </c>
      <c r="D81" s="90">
        <f>$C81*'Y1 Cash Flow Assumptions'!D81</f>
        <v>0</v>
      </c>
      <c r="E81" s="90">
        <f>$C81*'Y1 Cash Flow Assumptions'!E81</f>
        <v>0</v>
      </c>
      <c r="F81" s="90">
        <f>$C81*'Y1 Cash Flow Assumptions'!F81</f>
        <v>0</v>
      </c>
      <c r="G81" s="90">
        <f>$C81*'Y1 Cash Flow Assumptions'!G81</f>
        <v>0</v>
      </c>
      <c r="H81" s="90">
        <f>$C81*'Y1 Cash Flow Assumptions'!H81</f>
        <v>0</v>
      </c>
      <c r="I81" s="90">
        <f>$C81*'Y1 Cash Flow Assumptions'!I81</f>
        <v>0</v>
      </c>
      <c r="J81" s="90">
        <f>$C81*'Y1 Cash Flow Assumptions'!J81</f>
        <v>0</v>
      </c>
      <c r="K81" s="90">
        <f>$C81*'Y1 Cash Flow Assumptions'!K81</f>
        <v>0</v>
      </c>
      <c r="L81" s="90">
        <f>$C81*'Y1 Cash Flow Assumptions'!L81</f>
        <v>0</v>
      </c>
      <c r="M81" s="90">
        <f>$C81*'Y1 Cash Flow Assumptions'!M81</f>
        <v>0</v>
      </c>
      <c r="N81" s="90">
        <f>$C81*'Y1 Cash Flow Assumptions'!N81</f>
        <v>0</v>
      </c>
      <c r="O81" s="90">
        <f>$C81*'Y1 Cash Flow Assumptions'!O81</f>
        <v>0</v>
      </c>
      <c r="P81" s="90">
        <f>$C81*'Y1 Cash Flow Assumptions'!P81</f>
        <v>0</v>
      </c>
      <c r="Q81" s="103" t="str">
        <f t="shared" si="150"/>
        <v/>
      </c>
      <c r="S81" s="89">
        <f>'Budget Summary'!D77</f>
        <v>0</v>
      </c>
      <c r="T81" s="90">
        <f>$S81*'Y2_3 Cash Flow Assumptions'!D81</f>
        <v>0</v>
      </c>
      <c r="U81" s="90">
        <f>$S81*'Y2_3 Cash Flow Assumptions'!E81</f>
        <v>0</v>
      </c>
      <c r="V81" s="90">
        <f>$S81*'Y2_3 Cash Flow Assumptions'!F81</f>
        <v>0</v>
      </c>
      <c r="W81" s="90">
        <f>$S81*'Y2_3 Cash Flow Assumptions'!G81</f>
        <v>0</v>
      </c>
      <c r="X81" s="90">
        <f>$S81*'Y2_3 Cash Flow Assumptions'!H81</f>
        <v>0</v>
      </c>
      <c r="Y81" s="90">
        <f>$S81*'Y2_3 Cash Flow Assumptions'!I81</f>
        <v>0</v>
      </c>
      <c r="Z81" s="90">
        <f>$S81*'Y2_3 Cash Flow Assumptions'!J81</f>
        <v>0</v>
      </c>
      <c r="AA81" s="90">
        <f>$S81*'Y2_3 Cash Flow Assumptions'!K81</f>
        <v>0</v>
      </c>
      <c r="AB81" s="90">
        <f>$S81*'Y2_3 Cash Flow Assumptions'!L81</f>
        <v>0</v>
      </c>
      <c r="AC81" s="90">
        <f>$S81*'Y2_3 Cash Flow Assumptions'!M81</f>
        <v>0</v>
      </c>
      <c r="AD81" s="90">
        <f>$S81*'Y2_3 Cash Flow Assumptions'!N81</f>
        <v>0</v>
      </c>
      <c r="AE81" s="90">
        <f>$S81*'Y2_3 Cash Flow Assumptions'!O81</f>
        <v>0</v>
      </c>
      <c r="AF81" s="89">
        <f>$S81*'Y2_3 Cash Flow Assumptions'!P81</f>
        <v>0</v>
      </c>
      <c r="AG81" s="103" t="str">
        <f t="shared" si="151"/>
        <v/>
      </c>
      <c r="AI81" s="89">
        <f>'Budget Summary'!E77</f>
        <v>0</v>
      </c>
      <c r="AJ81" s="89">
        <f>$AI81*'Y2_3 Cash Flow Assumptions'!D81</f>
        <v>0</v>
      </c>
      <c r="AK81" s="89">
        <f>$AI81*'Y2_3 Cash Flow Assumptions'!E81</f>
        <v>0</v>
      </c>
      <c r="AL81" s="89">
        <f>$AI81*'Y2_3 Cash Flow Assumptions'!F81</f>
        <v>0</v>
      </c>
      <c r="AM81" s="89">
        <f>$AI81*'Y2_3 Cash Flow Assumptions'!G81</f>
        <v>0</v>
      </c>
      <c r="AN81" s="89">
        <f>$AI81*'Y2_3 Cash Flow Assumptions'!H81</f>
        <v>0</v>
      </c>
      <c r="AO81" s="89">
        <f>$AI81*'Y2_3 Cash Flow Assumptions'!I81</f>
        <v>0</v>
      </c>
      <c r="AP81" s="89">
        <f>$AI81*'Y2_3 Cash Flow Assumptions'!J81</f>
        <v>0</v>
      </c>
      <c r="AQ81" s="89">
        <f>$AI81*'Y2_3 Cash Flow Assumptions'!K81</f>
        <v>0</v>
      </c>
      <c r="AR81" s="89">
        <f>$AI81*'Y2_3 Cash Flow Assumptions'!L81</f>
        <v>0</v>
      </c>
      <c r="AS81" s="89">
        <f>$AI81*'Y2_3 Cash Flow Assumptions'!M81</f>
        <v>0</v>
      </c>
      <c r="AT81" s="89">
        <f>$AI81*'Y2_3 Cash Flow Assumptions'!N81</f>
        <v>0</v>
      </c>
      <c r="AU81" s="89">
        <f>$AI81*'Y2_3 Cash Flow Assumptions'!O81</f>
        <v>0</v>
      </c>
      <c r="AV81" s="89">
        <f>$AI81*'Y2_3 Cash Flow Assumptions'!P81</f>
        <v>0</v>
      </c>
      <c r="AW81" s="83" t="str">
        <f t="shared" si="152"/>
        <v/>
      </c>
    </row>
    <row r="82" spans="1:49">
      <c r="A82" s="23"/>
      <c r="B82" s="24" t="s">
        <v>212</v>
      </c>
      <c r="C82" s="89">
        <f>'Budget Summary'!C78</f>
        <v>96000</v>
      </c>
      <c r="D82" s="89">
        <f>$C82*'Y1 Cash Flow Assumptions'!D82</f>
        <v>8000</v>
      </c>
      <c r="E82" s="89">
        <f>$C82*'Y1 Cash Flow Assumptions'!E82</f>
        <v>8000</v>
      </c>
      <c r="F82" s="89">
        <f>$C82*'Y1 Cash Flow Assumptions'!F82</f>
        <v>8000</v>
      </c>
      <c r="G82" s="89">
        <f>$C82*'Y1 Cash Flow Assumptions'!G82</f>
        <v>8000</v>
      </c>
      <c r="H82" s="89">
        <f>$C82*'Y1 Cash Flow Assumptions'!H82</f>
        <v>8000</v>
      </c>
      <c r="I82" s="89">
        <f>$C82*'Y1 Cash Flow Assumptions'!I82</f>
        <v>8000</v>
      </c>
      <c r="J82" s="89">
        <f>$C82*'Y1 Cash Flow Assumptions'!J82</f>
        <v>8000</v>
      </c>
      <c r="K82" s="89">
        <f>$C82*'Y1 Cash Flow Assumptions'!K82</f>
        <v>8000</v>
      </c>
      <c r="L82" s="89">
        <f>$C82*'Y1 Cash Flow Assumptions'!L82</f>
        <v>8000</v>
      </c>
      <c r="M82" s="89">
        <f>$C82*'Y1 Cash Flow Assumptions'!M82</f>
        <v>8000</v>
      </c>
      <c r="N82" s="89">
        <f>$C82*'Y1 Cash Flow Assumptions'!N82</f>
        <v>8000</v>
      </c>
      <c r="O82" s="89">
        <f>$C82*'Y1 Cash Flow Assumptions'!O82</f>
        <v>8000</v>
      </c>
      <c r="P82" s="90">
        <f>$C82*'Y1 Cash Flow Assumptions'!P82</f>
        <v>0</v>
      </c>
      <c r="Q82" s="103" t="str">
        <f t="shared" si="150"/>
        <v/>
      </c>
      <c r="S82" s="89">
        <f>'Budget Summary'!D78</f>
        <v>96000</v>
      </c>
      <c r="T82" s="89">
        <f>$S82*'Y2_3 Cash Flow Assumptions'!D82</f>
        <v>8000</v>
      </c>
      <c r="U82" s="89">
        <f>$S82*'Y2_3 Cash Flow Assumptions'!E82</f>
        <v>8000</v>
      </c>
      <c r="V82" s="89">
        <f>$S82*'Y2_3 Cash Flow Assumptions'!F82</f>
        <v>8000</v>
      </c>
      <c r="W82" s="89">
        <f>$S82*'Y2_3 Cash Flow Assumptions'!G82</f>
        <v>8000</v>
      </c>
      <c r="X82" s="89">
        <f>$S82*'Y2_3 Cash Flow Assumptions'!H82</f>
        <v>8000</v>
      </c>
      <c r="Y82" s="89">
        <f>$S82*'Y2_3 Cash Flow Assumptions'!I82</f>
        <v>8000</v>
      </c>
      <c r="Z82" s="89">
        <f>$S82*'Y2_3 Cash Flow Assumptions'!J82</f>
        <v>8000</v>
      </c>
      <c r="AA82" s="89">
        <f>$S82*'Y2_3 Cash Flow Assumptions'!K82</f>
        <v>8000</v>
      </c>
      <c r="AB82" s="89">
        <f>$S82*'Y2_3 Cash Flow Assumptions'!L82</f>
        <v>8000</v>
      </c>
      <c r="AC82" s="89">
        <f>$S82*'Y2_3 Cash Flow Assumptions'!M82</f>
        <v>8000</v>
      </c>
      <c r="AD82" s="89">
        <f>$S82*'Y2_3 Cash Flow Assumptions'!N82</f>
        <v>8000</v>
      </c>
      <c r="AE82" s="89">
        <f>$S82*'Y2_3 Cash Flow Assumptions'!O82</f>
        <v>8000</v>
      </c>
      <c r="AF82" s="89">
        <f>$S82*'Y2_3 Cash Flow Assumptions'!P82</f>
        <v>0</v>
      </c>
      <c r="AG82" s="103" t="str">
        <f t="shared" si="151"/>
        <v/>
      </c>
      <c r="AI82" s="89">
        <f>'Budget Summary'!E78</f>
        <v>96000</v>
      </c>
      <c r="AJ82" s="89">
        <f>$AI82*'Y2_3 Cash Flow Assumptions'!D82</f>
        <v>8000</v>
      </c>
      <c r="AK82" s="89">
        <f>$AI82*'Y2_3 Cash Flow Assumptions'!E82</f>
        <v>8000</v>
      </c>
      <c r="AL82" s="89">
        <f>$AI82*'Y2_3 Cash Flow Assumptions'!F82</f>
        <v>8000</v>
      </c>
      <c r="AM82" s="89">
        <f>$AI82*'Y2_3 Cash Flow Assumptions'!G82</f>
        <v>8000</v>
      </c>
      <c r="AN82" s="89">
        <f>$AI82*'Y2_3 Cash Flow Assumptions'!H82</f>
        <v>8000</v>
      </c>
      <c r="AO82" s="89">
        <f>$AI82*'Y2_3 Cash Flow Assumptions'!I82</f>
        <v>8000</v>
      </c>
      <c r="AP82" s="89">
        <f>$AI82*'Y2_3 Cash Flow Assumptions'!J82</f>
        <v>8000</v>
      </c>
      <c r="AQ82" s="89">
        <f>$AI82*'Y2_3 Cash Flow Assumptions'!K82</f>
        <v>8000</v>
      </c>
      <c r="AR82" s="89">
        <f>$AI82*'Y2_3 Cash Flow Assumptions'!L82</f>
        <v>8000</v>
      </c>
      <c r="AS82" s="89">
        <f>$AI82*'Y2_3 Cash Flow Assumptions'!M82</f>
        <v>8000</v>
      </c>
      <c r="AT82" s="89">
        <f>$AI82*'Y2_3 Cash Flow Assumptions'!N82</f>
        <v>8000</v>
      </c>
      <c r="AU82" s="89">
        <f>$AI82*'Y2_3 Cash Flow Assumptions'!O82</f>
        <v>8000</v>
      </c>
      <c r="AV82" s="89">
        <f>$AI82*'Y2_3 Cash Flow Assumptions'!P82</f>
        <v>0</v>
      </c>
      <c r="AW82" s="83" t="str">
        <f t="shared" si="152"/>
        <v/>
      </c>
    </row>
    <row r="83" spans="1:49">
      <c r="A83" s="23"/>
      <c r="B83" s="24" t="s">
        <v>62</v>
      </c>
      <c r="C83" s="89">
        <f>'Budget Summary'!C79</f>
        <v>0</v>
      </c>
      <c r="D83" s="90">
        <f>$C83*'Y1 Cash Flow Assumptions'!D83</f>
        <v>0</v>
      </c>
      <c r="E83" s="90">
        <f>$C83*'Y1 Cash Flow Assumptions'!E83</f>
        <v>0</v>
      </c>
      <c r="F83" s="90">
        <f>$C83*'Y1 Cash Flow Assumptions'!F83</f>
        <v>0</v>
      </c>
      <c r="G83" s="90">
        <f>$C83*'Y1 Cash Flow Assumptions'!G83</f>
        <v>0</v>
      </c>
      <c r="H83" s="90">
        <f>$C83*'Y1 Cash Flow Assumptions'!H83</f>
        <v>0</v>
      </c>
      <c r="I83" s="90">
        <f>$C83*'Y1 Cash Flow Assumptions'!I83</f>
        <v>0</v>
      </c>
      <c r="J83" s="90">
        <f>$C83*'Y1 Cash Flow Assumptions'!J83</f>
        <v>0</v>
      </c>
      <c r="K83" s="90">
        <f>$C83*'Y1 Cash Flow Assumptions'!K83</f>
        <v>0</v>
      </c>
      <c r="L83" s="90">
        <f>$C83*'Y1 Cash Flow Assumptions'!L83</f>
        <v>0</v>
      </c>
      <c r="M83" s="90">
        <f>$C83*'Y1 Cash Flow Assumptions'!M83</f>
        <v>0</v>
      </c>
      <c r="N83" s="90">
        <f>$C83*'Y1 Cash Flow Assumptions'!N83</f>
        <v>0</v>
      </c>
      <c r="O83" s="90">
        <f>$C83*'Y1 Cash Flow Assumptions'!O83</f>
        <v>0</v>
      </c>
      <c r="P83" s="90">
        <f>$C83*'Y1 Cash Flow Assumptions'!P83</f>
        <v>0</v>
      </c>
      <c r="Q83" s="103" t="str">
        <f t="shared" si="150"/>
        <v/>
      </c>
      <c r="S83" s="89">
        <f>'Budget Summary'!D79</f>
        <v>0</v>
      </c>
      <c r="T83" s="90">
        <f>$S83*'Y2_3 Cash Flow Assumptions'!D83</f>
        <v>0</v>
      </c>
      <c r="U83" s="90">
        <f>$S83*'Y2_3 Cash Flow Assumptions'!E83</f>
        <v>0</v>
      </c>
      <c r="V83" s="90">
        <f>$S83*'Y2_3 Cash Flow Assumptions'!F83</f>
        <v>0</v>
      </c>
      <c r="W83" s="90">
        <f>$S83*'Y2_3 Cash Flow Assumptions'!G83</f>
        <v>0</v>
      </c>
      <c r="X83" s="90">
        <f>$S83*'Y2_3 Cash Flow Assumptions'!H83</f>
        <v>0</v>
      </c>
      <c r="Y83" s="90">
        <f>$S83*'Y2_3 Cash Flow Assumptions'!I83</f>
        <v>0</v>
      </c>
      <c r="Z83" s="90">
        <f>$S83*'Y2_3 Cash Flow Assumptions'!J83</f>
        <v>0</v>
      </c>
      <c r="AA83" s="90">
        <f>$S83*'Y2_3 Cash Flow Assumptions'!K83</f>
        <v>0</v>
      </c>
      <c r="AB83" s="90">
        <f>$S83*'Y2_3 Cash Flow Assumptions'!L83</f>
        <v>0</v>
      </c>
      <c r="AC83" s="90">
        <f>$S83*'Y2_3 Cash Flow Assumptions'!M83</f>
        <v>0</v>
      </c>
      <c r="AD83" s="90">
        <f>$S83*'Y2_3 Cash Flow Assumptions'!N83</f>
        <v>0</v>
      </c>
      <c r="AE83" s="90">
        <f>$S83*'Y2_3 Cash Flow Assumptions'!O83</f>
        <v>0</v>
      </c>
      <c r="AF83" s="89">
        <f>$S83*'Y2_3 Cash Flow Assumptions'!P83</f>
        <v>0</v>
      </c>
      <c r="AG83" s="103" t="str">
        <f t="shared" si="151"/>
        <v/>
      </c>
      <c r="AI83" s="89">
        <f>'Budget Summary'!E79</f>
        <v>0</v>
      </c>
      <c r="AJ83" s="89">
        <f>$AI83*'Y2_3 Cash Flow Assumptions'!D83</f>
        <v>0</v>
      </c>
      <c r="AK83" s="89">
        <f>$AI83*'Y2_3 Cash Flow Assumptions'!E83</f>
        <v>0</v>
      </c>
      <c r="AL83" s="89">
        <f>$AI83*'Y2_3 Cash Flow Assumptions'!F83</f>
        <v>0</v>
      </c>
      <c r="AM83" s="89">
        <f>$AI83*'Y2_3 Cash Flow Assumptions'!G83</f>
        <v>0</v>
      </c>
      <c r="AN83" s="89">
        <f>$AI83*'Y2_3 Cash Flow Assumptions'!H83</f>
        <v>0</v>
      </c>
      <c r="AO83" s="89">
        <f>$AI83*'Y2_3 Cash Flow Assumptions'!I83</f>
        <v>0</v>
      </c>
      <c r="AP83" s="89">
        <f>$AI83*'Y2_3 Cash Flow Assumptions'!J83</f>
        <v>0</v>
      </c>
      <c r="AQ83" s="89">
        <f>$AI83*'Y2_3 Cash Flow Assumptions'!K83</f>
        <v>0</v>
      </c>
      <c r="AR83" s="89">
        <f>$AI83*'Y2_3 Cash Flow Assumptions'!L83</f>
        <v>0</v>
      </c>
      <c r="AS83" s="89">
        <f>$AI83*'Y2_3 Cash Flow Assumptions'!M83</f>
        <v>0</v>
      </c>
      <c r="AT83" s="89">
        <f>$AI83*'Y2_3 Cash Flow Assumptions'!N83</f>
        <v>0</v>
      </c>
      <c r="AU83" s="89">
        <f>$AI83*'Y2_3 Cash Flow Assumptions'!O83</f>
        <v>0</v>
      </c>
      <c r="AV83" s="89">
        <f>$AI83*'Y2_3 Cash Flow Assumptions'!P83</f>
        <v>0</v>
      </c>
      <c r="AW83" s="83" t="str">
        <f t="shared" si="152"/>
        <v/>
      </c>
    </row>
    <row r="84" spans="1:49">
      <c r="A84" s="23"/>
      <c r="B84" s="24" t="s">
        <v>258</v>
      </c>
      <c r="C84" s="89">
        <f>'Budget Summary'!C80</f>
        <v>6000</v>
      </c>
      <c r="D84" s="90">
        <f>$C84*'Y1 Cash Flow Assumptions'!D84</f>
        <v>500</v>
      </c>
      <c r="E84" s="90">
        <f>$C84*'Y1 Cash Flow Assumptions'!E84</f>
        <v>500</v>
      </c>
      <c r="F84" s="90">
        <f>$C84*'Y1 Cash Flow Assumptions'!F84</f>
        <v>500</v>
      </c>
      <c r="G84" s="90">
        <f>$C84*'Y1 Cash Flow Assumptions'!G84</f>
        <v>500</v>
      </c>
      <c r="H84" s="90">
        <f>$C84*'Y1 Cash Flow Assumptions'!H84</f>
        <v>500</v>
      </c>
      <c r="I84" s="90">
        <f>$C84*'Y1 Cash Flow Assumptions'!I84</f>
        <v>500</v>
      </c>
      <c r="J84" s="90">
        <f>$C84*'Y1 Cash Flow Assumptions'!J84</f>
        <v>500</v>
      </c>
      <c r="K84" s="90">
        <f>$C84*'Y1 Cash Flow Assumptions'!K84</f>
        <v>500</v>
      </c>
      <c r="L84" s="90">
        <f>$C84*'Y1 Cash Flow Assumptions'!L84</f>
        <v>500</v>
      </c>
      <c r="M84" s="90">
        <f>$C84*'Y1 Cash Flow Assumptions'!M84</f>
        <v>500</v>
      </c>
      <c r="N84" s="90">
        <f>$C84*'Y1 Cash Flow Assumptions'!N84</f>
        <v>500</v>
      </c>
      <c r="O84" s="90">
        <f>$C84*'Y1 Cash Flow Assumptions'!O84</f>
        <v>500</v>
      </c>
      <c r="P84" s="90">
        <f>$C84*'Y1 Cash Flow Assumptions'!P84</f>
        <v>0</v>
      </c>
      <c r="Q84" s="103" t="str">
        <f t="shared" si="150"/>
        <v/>
      </c>
      <c r="S84" s="89">
        <f>'Budget Summary'!D80</f>
        <v>6000</v>
      </c>
      <c r="T84" s="90">
        <f>$S84*'Y2_3 Cash Flow Assumptions'!D84</f>
        <v>500</v>
      </c>
      <c r="U84" s="90">
        <f>$S84*'Y2_3 Cash Flow Assumptions'!E84</f>
        <v>500</v>
      </c>
      <c r="V84" s="90">
        <f>$S84*'Y2_3 Cash Flow Assumptions'!F84</f>
        <v>500</v>
      </c>
      <c r="W84" s="90">
        <f>$S84*'Y2_3 Cash Flow Assumptions'!G84</f>
        <v>500</v>
      </c>
      <c r="X84" s="90">
        <f>$S84*'Y2_3 Cash Flow Assumptions'!H84</f>
        <v>500</v>
      </c>
      <c r="Y84" s="90">
        <f>$S84*'Y2_3 Cash Flow Assumptions'!I84</f>
        <v>500</v>
      </c>
      <c r="Z84" s="90">
        <f>$S84*'Y2_3 Cash Flow Assumptions'!J84</f>
        <v>500</v>
      </c>
      <c r="AA84" s="90">
        <f>$S84*'Y2_3 Cash Flow Assumptions'!K84</f>
        <v>500</v>
      </c>
      <c r="AB84" s="90">
        <f>$S84*'Y2_3 Cash Flow Assumptions'!L84</f>
        <v>500</v>
      </c>
      <c r="AC84" s="90">
        <f>$S84*'Y2_3 Cash Flow Assumptions'!M84</f>
        <v>500</v>
      </c>
      <c r="AD84" s="90">
        <f>$S84*'Y2_3 Cash Flow Assumptions'!N84</f>
        <v>500</v>
      </c>
      <c r="AE84" s="90">
        <f>$S84*'Y2_3 Cash Flow Assumptions'!O84</f>
        <v>500</v>
      </c>
      <c r="AF84" s="89">
        <f>$S84*'Y2_3 Cash Flow Assumptions'!P84</f>
        <v>0</v>
      </c>
      <c r="AG84" s="103" t="str">
        <f t="shared" si="151"/>
        <v/>
      </c>
      <c r="AI84" s="89">
        <f>'Budget Summary'!E80</f>
        <v>6000</v>
      </c>
      <c r="AJ84" s="89">
        <f>$AI84*'Y2_3 Cash Flow Assumptions'!D84</f>
        <v>500</v>
      </c>
      <c r="AK84" s="89">
        <f>$AI84*'Y2_3 Cash Flow Assumptions'!E84</f>
        <v>500</v>
      </c>
      <c r="AL84" s="89">
        <f>$AI84*'Y2_3 Cash Flow Assumptions'!F84</f>
        <v>500</v>
      </c>
      <c r="AM84" s="89">
        <f>$AI84*'Y2_3 Cash Flow Assumptions'!G84</f>
        <v>500</v>
      </c>
      <c r="AN84" s="89">
        <f>$AI84*'Y2_3 Cash Flow Assumptions'!H84</f>
        <v>500</v>
      </c>
      <c r="AO84" s="89">
        <f>$AI84*'Y2_3 Cash Flow Assumptions'!I84</f>
        <v>500</v>
      </c>
      <c r="AP84" s="89">
        <f>$AI84*'Y2_3 Cash Flow Assumptions'!J84</f>
        <v>500</v>
      </c>
      <c r="AQ84" s="89">
        <f>$AI84*'Y2_3 Cash Flow Assumptions'!K84</f>
        <v>500</v>
      </c>
      <c r="AR84" s="89">
        <f>$AI84*'Y2_3 Cash Flow Assumptions'!L84</f>
        <v>500</v>
      </c>
      <c r="AS84" s="89">
        <f>$AI84*'Y2_3 Cash Flow Assumptions'!M84</f>
        <v>500</v>
      </c>
      <c r="AT84" s="89">
        <f>$AI84*'Y2_3 Cash Flow Assumptions'!N84</f>
        <v>500</v>
      </c>
      <c r="AU84" s="89">
        <f>$AI84*'Y2_3 Cash Flow Assumptions'!O84</f>
        <v>500</v>
      </c>
      <c r="AV84" s="89">
        <f>$AI84*'Y2_3 Cash Flow Assumptions'!P84</f>
        <v>0</v>
      </c>
      <c r="AW84" s="83" t="str">
        <f t="shared" si="152"/>
        <v/>
      </c>
    </row>
    <row r="85" spans="1:49">
      <c r="A85" s="23"/>
      <c r="B85" s="24" t="s">
        <v>71</v>
      </c>
      <c r="C85" s="89">
        <f>'Budget Summary'!C81</f>
        <v>45000</v>
      </c>
      <c r="D85" s="90">
        <f>$C85*'Y1 Cash Flow Assumptions'!D85</f>
        <v>0</v>
      </c>
      <c r="E85" s="90">
        <f>$C85*'Y1 Cash Flow Assumptions'!E85</f>
        <v>2250</v>
      </c>
      <c r="F85" s="90">
        <f>$C85*'Y1 Cash Flow Assumptions'!F85</f>
        <v>4500</v>
      </c>
      <c r="G85" s="90">
        <f>$C85*'Y1 Cash Flow Assumptions'!G85</f>
        <v>4500</v>
      </c>
      <c r="H85" s="90">
        <f>$C85*'Y1 Cash Flow Assumptions'!H85</f>
        <v>4500</v>
      </c>
      <c r="I85" s="90">
        <f>$C85*'Y1 Cash Flow Assumptions'!I85</f>
        <v>4500</v>
      </c>
      <c r="J85" s="90">
        <f>$C85*'Y1 Cash Flow Assumptions'!J85</f>
        <v>4500</v>
      </c>
      <c r="K85" s="90">
        <f>$C85*'Y1 Cash Flow Assumptions'!K85</f>
        <v>4500</v>
      </c>
      <c r="L85" s="90">
        <f>$C85*'Y1 Cash Flow Assumptions'!L85</f>
        <v>4500</v>
      </c>
      <c r="M85" s="90">
        <f>$C85*'Y1 Cash Flow Assumptions'!M85</f>
        <v>4500</v>
      </c>
      <c r="N85" s="90">
        <f>$C85*'Y1 Cash Flow Assumptions'!N85</f>
        <v>4500</v>
      </c>
      <c r="O85" s="90">
        <f>$C85*'Y1 Cash Flow Assumptions'!O85</f>
        <v>2250</v>
      </c>
      <c r="P85" s="90">
        <f>$C85*'Y1 Cash Flow Assumptions'!P85</f>
        <v>0</v>
      </c>
      <c r="Q85" s="103" t="str">
        <f t="shared" si="150"/>
        <v/>
      </c>
      <c r="S85" s="89">
        <f>'Budget Summary'!D81</f>
        <v>45000</v>
      </c>
      <c r="T85" s="90">
        <f>$S85*'Y2_3 Cash Flow Assumptions'!D85</f>
        <v>0</v>
      </c>
      <c r="U85" s="90">
        <f>$S85*'Y2_3 Cash Flow Assumptions'!E85</f>
        <v>2250</v>
      </c>
      <c r="V85" s="90">
        <f>$S85*'Y2_3 Cash Flow Assumptions'!F85</f>
        <v>4500</v>
      </c>
      <c r="W85" s="90">
        <f>$S85*'Y2_3 Cash Flow Assumptions'!G85</f>
        <v>4500</v>
      </c>
      <c r="X85" s="90">
        <f>$S85*'Y2_3 Cash Flow Assumptions'!H85</f>
        <v>4500</v>
      </c>
      <c r="Y85" s="90">
        <f>$S85*'Y2_3 Cash Flow Assumptions'!I85</f>
        <v>4500</v>
      </c>
      <c r="Z85" s="90">
        <f>$S85*'Y2_3 Cash Flow Assumptions'!J85</f>
        <v>4500</v>
      </c>
      <c r="AA85" s="90">
        <f>$S85*'Y2_3 Cash Flow Assumptions'!K85</f>
        <v>4500</v>
      </c>
      <c r="AB85" s="90">
        <f>$S85*'Y2_3 Cash Flow Assumptions'!L85</f>
        <v>4500</v>
      </c>
      <c r="AC85" s="90">
        <f>$S85*'Y2_3 Cash Flow Assumptions'!M85</f>
        <v>4500</v>
      </c>
      <c r="AD85" s="90">
        <f>$S85*'Y2_3 Cash Flow Assumptions'!N85</f>
        <v>4500</v>
      </c>
      <c r="AE85" s="90">
        <f>$S85*'Y2_3 Cash Flow Assumptions'!O85</f>
        <v>2250</v>
      </c>
      <c r="AF85" s="89">
        <f>$S85*'Y2_3 Cash Flow Assumptions'!P85</f>
        <v>0</v>
      </c>
      <c r="AG85" s="103" t="str">
        <f t="shared" si="151"/>
        <v/>
      </c>
      <c r="AI85" s="89">
        <f>'Budget Summary'!E81</f>
        <v>45000</v>
      </c>
      <c r="AJ85" s="89">
        <f>$AI85*'Y2_3 Cash Flow Assumptions'!D85</f>
        <v>0</v>
      </c>
      <c r="AK85" s="89">
        <f>$AI85*'Y2_3 Cash Flow Assumptions'!E85</f>
        <v>2250</v>
      </c>
      <c r="AL85" s="89">
        <f>$AI85*'Y2_3 Cash Flow Assumptions'!F85</f>
        <v>4500</v>
      </c>
      <c r="AM85" s="89">
        <f>$AI85*'Y2_3 Cash Flow Assumptions'!G85</f>
        <v>4500</v>
      </c>
      <c r="AN85" s="89">
        <f>$AI85*'Y2_3 Cash Flow Assumptions'!H85</f>
        <v>4500</v>
      </c>
      <c r="AO85" s="89">
        <f>$AI85*'Y2_3 Cash Flow Assumptions'!I85</f>
        <v>4500</v>
      </c>
      <c r="AP85" s="89">
        <f>$AI85*'Y2_3 Cash Flow Assumptions'!J85</f>
        <v>4500</v>
      </c>
      <c r="AQ85" s="89">
        <f>$AI85*'Y2_3 Cash Flow Assumptions'!K85</f>
        <v>4500</v>
      </c>
      <c r="AR85" s="89">
        <f>$AI85*'Y2_3 Cash Flow Assumptions'!L85</f>
        <v>4500</v>
      </c>
      <c r="AS85" s="89">
        <f>$AI85*'Y2_3 Cash Flow Assumptions'!M85</f>
        <v>4500</v>
      </c>
      <c r="AT85" s="89">
        <f>$AI85*'Y2_3 Cash Flow Assumptions'!N85</f>
        <v>4500</v>
      </c>
      <c r="AU85" s="89">
        <f>$AI85*'Y2_3 Cash Flow Assumptions'!O85</f>
        <v>2250</v>
      </c>
      <c r="AV85" s="89">
        <f>$AI85*'Y2_3 Cash Flow Assumptions'!P85</f>
        <v>0</v>
      </c>
      <c r="AW85" s="83" t="str">
        <f t="shared" si="152"/>
        <v/>
      </c>
    </row>
    <row r="86" spans="1:49">
      <c r="A86" s="23"/>
      <c r="B86" s="24" t="s">
        <v>70</v>
      </c>
      <c r="C86" s="89">
        <f>'Budget Summary'!C82</f>
        <v>500</v>
      </c>
      <c r="D86" s="90">
        <f>$C86*'Y1 Cash Flow Assumptions'!D86</f>
        <v>41.666666666666664</v>
      </c>
      <c r="E86" s="90">
        <f>$C86*'Y1 Cash Flow Assumptions'!E86</f>
        <v>41.666666666666664</v>
      </c>
      <c r="F86" s="90">
        <f>$C86*'Y1 Cash Flow Assumptions'!F86</f>
        <v>41.666666666666664</v>
      </c>
      <c r="G86" s="90">
        <f>$C86*'Y1 Cash Flow Assumptions'!G86</f>
        <v>41.666666666666664</v>
      </c>
      <c r="H86" s="90">
        <f>$C86*'Y1 Cash Flow Assumptions'!H86</f>
        <v>41.666666666666664</v>
      </c>
      <c r="I86" s="90">
        <f>$C86*'Y1 Cash Flow Assumptions'!I86</f>
        <v>41.666666666666664</v>
      </c>
      <c r="J86" s="90">
        <f>$C86*'Y1 Cash Flow Assumptions'!J86</f>
        <v>41.666666666666664</v>
      </c>
      <c r="K86" s="90">
        <f>$C86*'Y1 Cash Flow Assumptions'!K86</f>
        <v>41.666666666666664</v>
      </c>
      <c r="L86" s="90">
        <f>$C86*'Y1 Cash Flow Assumptions'!L86</f>
        <v>41.666666666666664</v>
      </c>
      <c r="M86" s="90">
        <f>$C86*'Y1 Cash Flow Assumptions'!M86</f>
        <v>41.666666666666664</v>
      </c>
      <c r="N86" s="90">
        <f>$C86*'Y1 Cash Flow Assumptions'!N86</f>
        <v>41.666666666666664</v>
      </c>
      <c r="O86" s="90">
        <f>$C86*'Y1 Cash Flow Assumptions'!O86</f>
        <v>41.666666666666664</v>
      </c>
      <c r="P86" s="90">
        <f>$C86*'Y1 Cash Flow Assumptions'!P86</f>
        <v>0</v>
      </c>
      <c r="Q86" s="103" t="str">
        <f t="shared" si="150"/>
        <v/>
      </c>
      <c r="S86" s="89">
        <f>'Budget Summary'!D82</f>
        <v>500</v>
      </c>
      <c r="T86" s="90">
        <f>$S86*'Y2_3 Cash Flow Assumptions'!D86</f>
        <v>41.666666666666664</v>
      </c>
      <c r="U86" s="90">
        <f>$S86*'Y2_3 Cash Flow Assumptions'!E86</f>
        <v>41.666666666666664</v>
      </c>
      <c r="V86" s="90">
        <f>$S86*'Y2_3 Cash Flow Assumptions'!F86</f>
        <v>41.666666666666664</v>
      </c>
      <c r="W86" s="90">
        <f>$S86*'Y2_3 Cash Flow Assumptions'!G86</f>
        <v>41.666666666666664</v>
      </c>
      <c r="X86" s="90">
        <f>$S86*'Y2_3 Cash Flow Assumptions'!H86</f>
        <v>41.666666666666664</v>
      </c>
      <c r="Y86" s="90">
        <f>$S86*'Y2_3 Cash Flow Assumptions'!I86</f>
        <v>41.666666666666664</v>
      </c>
      <c r="Z86" s="90">
        <f>$S86*'Y2_3 Cash Flow Assumptions'!J86</f>
        <v>41.666666666666664</v>
      </c>
      <c r="AA86" s="90">
        <f>$S86*'Y2_3 Cash Flow Assumptions'!K86</f>
        <v>41.666666666666664</v>
      </c>
      <c r="AB86" s="90">
        <f>$S86*'Y2_3 Cash Flow Assumptions'!L86</f>
        <v>41.666666666666664</v>
      </c>
      <c r="AC86" s="90">
        <f>$S86*'Y2_3 Cash Flow Assumptions'!M86</f>
        <v>41.666666666666664</v>
      </c>
      <c r="AD86" s="90">
        <f>$S86*'Y2_3 Cash Flow Assumptions'!N86</f>
        <v>41.666666666666664</v>
      </c>
      <c r="AE86" s="90">
        <f>$S86*'Y2_3 Cash Flow Assumptions'!O86</f>
        <v>41.666666666666664</v>
      </c>
      <c r="AF86" s="89">
        <f>$S86*'Y2_3 Cash Flow Assumptions'!P86</f>
        <v>0</v>
      </c>
      <c r="AG86" s="103" t="str">
        <f t="shared" si="151"/>
        <v/>
      </c>
      <c r="AI86" s="89">
        <f>'Budget Summary'!E82</f>
        <v>500</v>
      </c>
      <c r="AJ86" s="89">
        <f>$AI86*'Y2_3 Cash Flow Assumptions'!D86</f>
        <v>41.666666666666664</v>
      </c>
      <c r="AK86" s="89">
        <f>$AI86*'Y2_3 Cash Flow Assumptions'!E86</f>
        <v>41.666666666666664</v>
      </c>
      <c r="AL86" s="89">
        <f>$AI86*'Y2_3 Cash Flow Assumptions'!F86</f>
        <v>41.666666666666664</v>
      </c>
      <c r="AM86" s="89">
        <f>$AI86*'Y2_3 Cash Flow Assumptions'!G86</f>
        <v>41.666666666666664</v>
      </c>
      <c r="AN86" s="89">
        <f>$AI86*'Y2_3 Cash Flow Assumptions'!H86</f>
        <v>41.666666666666664</v>
      </c>
      <c r="AO86" s="89">
        <f>$AI86*'Y2_3 Cash Flow Assumptions'!I86</f>
        <v>41.666666666666664</v>
      </c>
      <c r="AP86" s="89">
        <f>$AI86*'Y2_3 Cash Flow Assumptions'!J86</f>
        <v>41.666666666666664</v>
      </c>
      <c r="AQ86" s="89">
        <f>$AI86*'Y2_3 Cash Flow Assumptions'!K86</f>
        <v>41.666666666666664</v>
      </c>
      <c r="AR86" s="89">
        <f>$AI86*'Y2_3 Cash Flow Assumptions'!L86</f>
        <v>41.666666666666664</v>
      </c>
      <c r="AS86" s="89">
        <f>$AI86*'Y2_3 Cash Flow Assumptions'!M86</f>
        <v>41.666666666666664</v>
      </c>
      <c r="AT86" s="89">
        <f>$AI86*'Y2_3 Cash Flow Assumptions'!N86</f>
        <v>41.666666666666664</v>
      </c>
      <c r="AU86" s="89">
        <f>$AI86*'Y2_3 Cash Flow Assumptions'!O86</f>
        <v>41.666666666666664</v>
      </c>
      <c r="AV86" s="89">
        <f>$AI86*'Y2_3 Cash Flow Assumptions'!P86</f>
        <v>0</v>
      </c>
      <c r="AW86" s="83" t="str">
        <f t="shared" si="152"/>
        <v/>
      </c>
    </row>
    <row r="87" spans="1:49">
      <c r="A87" s="23"/>
      <c r="B87" s="24" t="s">
        <v>69</v>
      </c>
      <c r="C87" s="89">
        <f>'Budget Summary'!C83</f>
        <v>5000</v>
      </c>
      <c r="D87" s="90">
        <f>$C87*'Y1 Cash Flow Assumptions'!D87</f>
        <v>416.66666666666663</v>
      </c>
      <c r="E87" s="90">
        <f>$C87*'Y1 Cash Flow Assumptions'!E87</f>
        <v>416.66666666666663</v>
      </c>
      <c r="F87" s="90">
        <f>$C87*'Y1 Cash Flow Assumptions'!F87</f>
        <v>416.66666666666663</v>
      </c>
      <c r="G87" s="90">
        <f>$C87*'Y1 Cash Flow Assumptions'!G87</f>
        <v>416.66666666666663</v>
      </c>
      <c r="H87" s="90">
        <f>$C87*'Y1 Cash Flow Assumptions'!H87</f>
        <v>416.66666666666663</v>
      </c>
      <c r="I87" s="90">
        <f>$C87*'Y1 Cash Flow Assumptions'!I87</f>
        <v>416.66666666666663</v>
      </c>
      <c r="J87" s="90">
        <f>$C87*'Y1 Cash Flow Assumptions'!J87</f>
        <v>416.66666666666663</v>
      </c>
      <c r="K87" s="90">
        <f>$C87*'Y1 Cash Flow Assumptions'!K87</f>
        <v>416.66666666666663</v>
      </c>
      <c r="L87" s="90">
        <f>$C87*'Y1 Cash Flow Assumptions'!L87</f>
        <v>416.66666666666663</v>
      </c>
      <c r="M87" s="90">
        <f>$C87*'Y1 Cash Flow Assumptions'!M87</f>
        <v>416.66666666666663</v>
      </c>
      <c r="N87" s="90">
        <f>$C87*'Y1 Cash Flow Assumptions'!N87</f>
        <v>416.66666666666663</v>
      </c>
      <c r="O87" s="90">
        <f>$C87*'Y1 Cash Flow Assumptions'!O87</f>
        <v>416.66666666666663</v>
      </c>
      <c r="P87" s="90">
        <f>$C87*'Y1 Cash Flow Assumptions'!P87</f>
        <v>0</v>
      </c>
      <c r="Q87" s="103" t="str">
        <f t="shared" si="150"/>
        <v/>
      </c>
      <c r="S87" s="89">
        <f>'Budget Summary'!D83</f>
        <v>5000</v>
      </c>
      <c r="T87" s="90">
        <f>$S87*'Y2_3 Cash Flow Assumptions'!D87</f>
        <v>416.66666666666663</v>
      </c>
      <c r="U87" s="90">
        <f>$S87*'Y2_3 Cash Flow Assumptions'!E87</f>
        <v>416.66666666666663</v>
      </c>
      <c r="V87" s="90">
        <f>$S87*'Y2_3 Cash Flow Assumptions'!F87</f>
        <v>416.66666666666663</v>
      </c>
      <c r="W87" s="90">
        <f>$S87*'Y2_3 Cash Flow Assumptions'!G87</f>
        <v>416.66666666666663</v>
      </c>
      <c r="X87" s="90">
        <f>$S87*'Y2_3 Cash Flow Assumptions'!H87</f>
        <v>416.66666666666663</v>
      </c>
      <c r="Y87" s="90">
        <f>$S87*'Y2_3 Cash Flow Assumptions'!I87</f>
        <v>416.66666666666663</v>
      </c>
      <c r="Z87" s="90">
        <f>$S87*'Y2_3 Cash Flow Assumptions'!J87</f>
        <v>416.66666666666663</v>
      </c>
      <c r="AA87" s="90">
        <f>$S87*'Y2_3 Cash Flow Assumptions'!K87</f>
        <v>416.66666666666663</v>
      </c>
      <c r="AB87" s="90">
        <f>$S87*'Y2_3 Cash Flow Assumptions'!L87</f>
        <v>416.66666666666663</v>
      </c>
      <c r="AC87" s="90">
        <f>$S87*'Y2_3 Cash Flow Assumptions'!M87</f>
        <v>416.66666666666663</v>
      </c>
      <c r="AD87" s="90">
        <f>$S87*'Y2_3 Cash Flow Assumptions'!N87</f>
        <v>416.66666666666663</v>
      </c>
      <c r="AE87" s="90">
        <f>$S87*'Y2_3 Cash Flow Assumptions'!O87</f>
        <v>416.66666666666663</v>
      </c>
      <c r="AF87" s="89">
        <f>$S87*'Y2_3 Cash Flow Assumptions'!P87</f>
        <v>0</v>
      </c>
      <c r="AG87" s="103" t="str">
        <f t="shared" si="151"/>
        <v/>
      </c>
      <c r="AI87" s="89">
        <f>'Budget Summary'!E83</f>
        <v>5000</v>
      </c>
      <c r="AJ87" s="89">
        <f>$AI87*'Y2_3 Cash Flow Assumptions'!D87</f>
        <v>416.66666666666663</v>
      </c>
      <c r="AK87" s="89">
        <f>$AI87*'Y2_3 Cash Flow Assumptions'!E87</f>
        <v>416.66666666666663</v>
      </c>
      <c r="AL87" s="89">
        <f>$AI87*'Y2_3 Cash Flow Assumptions'!F87</f>
        <v>416.66666666666663</v>
      </c>
      <c r="AM87" s="89">
        <f>$AI87*'Y2_3 Cash Flow Assumptions'!G87</f>
        <v>416.66666666666663</v>
      </c>
      <c r="AN87" s="89">
        <f>$AI87*'Y2_3 Cash Flow Assumptions'!H87</f>
        <v>416.66666666666663</v>
      </c>
      <c r="AO87" s="89">
        <f>$AI87*'Y2_3 Cash Flow Assumptions'!I87</f>
        <v>416.66666666666663</v>
      </c>
      <c r="AP87" s="89">
        <f>$AI87*'Y2_3 Cash Flow Assumptions'!J87</f>
        <v>416.66666666666663</v>
      </c>
      <c r="AQ87" s="89">
        <f>$AI87*'Y2_3 Cash Flow Assumptions'!K87</f>
        <v>416.66666666666663</v>
      </c>
      <c r="AR87" s="89">
        <f>$AI87*'Y2_3 Cash Flow Assumptions'!L87</f>
        <v>416.66666666666663</v>
      </c>
      <c r="AS87" s="89">
        <f>$AI87*'Y2_3 Cash Flow Assumptions'!M87</f>
        <v>416.66666666666663</v>
      </c>
      <c r="AT87" s="89">
        <f>$AI87*'Y2_3 Cash Flow Assumptions'!N87</f>
        <v>416.66666666666663</v>
      </c>
      <c r="AU87" s="89">
        <f>$AI87*'Y2_3 Cash Flow Assumptions'!O87</f>
        <v>416.66666666666663</v>
      </c>
      <c r="AV87" s="89">
        <f>$AI87*'Y2_3 Cash Flow Assumptions'!P87</f>
        <v>0</v>
      </c>
      <c r="AW87" s="83" t="str">
        <f t="shared" si="152"/>
        <v/>
      </c>
    </row>
    <row r="88" spans="1:49">
      <c r="A88" s="23"/>
      <c r="B88" s="24" t="s">
        <v>72</v>
      </c>
      <c r="C88" s="89">
        <f>'Budget Summary'!C84</f>
        <v>14500</v>
      </c>
      <c r="D88" s="89">
        <f>$C88*'Y1 Cash Flow Assumptions'!D88</f>
        <v>0</v>
      </c>
      <c r="E88" s="89">
        <f>$C88*'Y1 Cash Flow Assumptions'!E88</f>
        <v>0</v>
      </c>
      <c r="F88" s="89">
        <f>$C88*'Y1 Cash Flow Assumptions'!F88</f>
        <v>0</v>
      </c>
      <c r="G88" s="89">
        <f>$C88*'Y1 Cash Flow Assumptions'!G88</f>
        <v>0</v>
      </c>
      <c r="H88" s="89">
        <f>$C88*'Y1 Cash Flow Assumptions'!H88</f>
        <v>0</v>
      </c>
      <c r="I88" s="89">
        <f>$C88*'Y1 Cash Flow Assumptions'!I88</f>
        <v>0</v>
      </c>
      <c r="J88" s="89">
        <f>$C88*'Y1 Cash Flow Assumptions'!J88</f>
        <v>0</v>
      </c>
      <c r="K88" s="89">
        <f>$C88*'Y1 Cash Flow Assumptions'!K88</f>
        <v>0</v>
      </c>
      <c r="L88" s="89">
        <f>$C88*'Y1 Cash Flow Assumptions'!L88</f>
        <v>0</v>
      </c>
      <c r="M88" s="89">
        <f>$C88*'Y1 Cash Flow Assumptions'!M88</f>
        <v>0</v>
      </c>
      <c r="N88" s="89">
        <f>$C88*'Y1 Cash Flow Assumptions'!N88</f>
        <v>0</v>
      </c>
      <c r="O88" s="89">
        <f>$C88*'Y1 Cash Flow Assumptions'!O88</f>
        <v>0</v>
      </c>
      <c r="P88" s="90">
        <f>$C88*'Y1 Cash Flow Assumptions'!P88</f>
        <v>14500</v>
      </c>
      <c r="Q88" s="103" t="str">
        <f t="shared" si="150"/>
        <v/>
      </c>
      <c r="S88" s="89">
        <f>'Budget Summary'!D84</f>
        <v>14500</v>
      </c>
      <c r="T88" s="89">
        <f>$S88*'Y2_3 Cash Flow Assumptions'!D88</f>
        <v>0</v>
      </c>
      <c r="U88" s="89">
        <f>$S88*'Y2_3 Cash Flow Assumptions'!E88</f>
        <v>0</v>
      </c>
      <c r="V88" s="89">
        <f>$S88*'Y2_3 Cash Flow Assumptions'!F88</f>
        <v>0</v>
      </c>
      <c r="W88" s="89">
        <f>$S88*'Y2_3 Cash Flow Assumptions'!G88</f>
        <v>0</v>
      </c>
      <c r="X88" s="89">
        <f>$S88*'Y2_3 Cash Flow Assumptions'!H88</f>
        <v>0</v>
      </c>
      <c r="Y88" s="89">
        <f>$S88*'Y2_3 Cash Flow Assumptions'!I88</f>
        <v>0</v>
      </c>
      <c r="Z88" s="89">
        <f>$S88*'Y2_3 Cash Flow Assumptions'!J88</f>
        <v>0</v>
      </c>
      <c r="AA88" s="89">
        <f>$S88*'Y2_3 Cash Flow Assumptions'!K88</f>
        <v>0</v>
      </c>
      <c r="AB88" s="89">
        <f>$S88*'Y2_3 Cash Flow Assumptions'!L88</f>
        <v>0</v>
      </c>
      <c r="AC88" s="89">
        <f>$S88*'Y2_3 Cash Flow Assumptions'!M88</f>
        <v>0</v>
      </c>
      <c r="AD88" s="89">
        <f>$S88*'Y2_3 Cash Flow Assumptions'!N88</f>
        <v>0</v>
      </c>
      <c r="AE88" s="89">
        <f>$S88*'Y2_3 Cash Flow Assumptions'!O88</f>
        <v>0</v>
      </c>
      <c r="AF88" s="89">
        <f>$S88*'Y2_3 Cash Flow Assumptions'!P88</f>
        <v>14500</v>
      </c>
      <c r="AG88" s="103" t="str">
        <f t="shared" si="151"/>
        <v/>
      </c>
      <c r="AI88" s="89">
        <f>'Budget Summary'!E84</f>
        <v>14500</v>
      </c>
      <c r="AJ88" s="89">
        <f>$AI88*'Y2_3 Cash Flow Assumptions'!D88</f>
        <v>0</v>
      </c>
      <c r="AK88" s="89">
        <f>$AI88*'Y2_3 Cash Flow Assumptions'!E88</f>
        <v>0</v>
      </c>
      <c r="AL88" s="89">
        <f>$AI88*'Y2_3 Cash Flow Assumptions'!F88</f>
        <v>0</v>
      </c>
      <c r="AM88" s="89">
        <f>$AI88*'Y2_3 Cash Flow Assumptions'!G88</f>
        <v>0</v>
      </c>
      <c r="AN88" s="89">
        <f>$AI88*'Y2_3 Cash Flow Assumptions'!H88</f>
        <v>0</v>
      </c>
      <c r="AO88" s="89">
        <f>$AI88*'Y2_3 Cash Flow Assumptions'!I88</f>
        <v>0</v>
      </c>
      <c r="AP88" s="89">
        <f>$AI88*'Y2_3 Cash Flow Assumptions'!J88</f>
        <v>0</v>
      </c>
      <c r="AQ88" s="89">
        <f>$AI88*'Y2_3 Cash Flow Assumptions'!K88</f>
        <v>0</v>
      </c>
      <c r="AR88" s="89">
        <f>$AI88*'Y2_3 Cash Flow Assumptions'!L88</f>
        <v>0</v>
      </c>
      <c r="AS88" s="89">
        <f>$AI88*'Y2_3 Cash Flow Assumptions'!M88</f>
        <v>0</v>
      </c>
      <c r="AT88" s="89">
        <f>$AI88*'Y2_3 Cash Flow Assumptions'!N88</f>
        <v>0</v>
      </c>
      <c r="AU88" s="89">
        <f>$AI88*'Y2_3 Cash Flow Assumptions'!O88</f>
        <v>0</v>
      </c>
      <c r="AV88" s="89">
        <f>$AI88*'Y2_3 Cash Flow Assumptions'!P88</f>
        <v>14500</v>
      </c>
      <c r="AW88" s="83" t="str">
        <f t="shared" si="152"/>
        <v/>
      </c>
    </row>
    <row r="89" spans="1:49">
      <c r="A89" s="23"/>
      <c r="B89" s="24" t="s">
        <v>74</v>
      </c>
      <c r="C89" s="89">
        <f>'Budget Summary'!C85</f>
        <v>0</v>
      </c>
      <c r="D89" s="90">
        <f>$C89*'Y1 Cash Flow Assumptions'!D89</f>
        <v>0</v>
      </c>
      <c r="E89" s="90">
        <f>$C89*'Y1 Cash Flow Assumptions'!E89</f>
        <v>0</v>
      </c>
      <c r="F89" s="90">
        <f>$C89*'Y1 Cash Flow Assumptions'!F89</f>
        <v>0</v>
      </c>
      <c r="G89" s="90">
        <f>$C89*'Y1 Cash Flow Assumptions'!G89</f>
        <v>0</v>
      </c>
      <c r="H89" s="90">
        <f>$C89*'Y1 Cash Flow Assumptions'!H89</f>
        <v>0</v>
      </c>
      <c r="I89" s="90">
        <f>$C89*'Y1 Cash Flow Assumptions'!I89</f>
        <v>0</v>
      </c>
      <c r="J89" s="90">
        <f>$C89*'Y1 Cash Flow Assumptions'!J89</f>
        <v>0</v>
      </c>
      <c r="K89" s="90">
        <f>$C89*'Y1 Cash Flow Assumptions'!K89</f>
        <v>0</v>
      </c>
      <c r="L89" s="90">
        <f>$C89*'Y1 Cash Flow Assumptions'!L89</f>
        <v>0</v>
      </c>
      <c r="M89" s="90">
        <f>$C89*'Y1 Cash Flow Assumptions'!M89</f>
        <v>0</v>
      </c>
      <c r="N89" s="90">
        <f>$C89*'Y1 Cash Flow Assumptions'!N89</f>
        <v>0</v>
      </c>
      <c r="O89" s="90">
        <f>$C89*'Y1 Cash Flow Assumptions'!O89</f>
        <v>0</v>
      </c>
      <c r="P89" s="90">
        <f>$C89*'Y1 Cash Flow Assumptions'!P89</f>
        <v>0</v>
      </c>
      <c r="Q89" s="103" t="str">
        <f t="shared" si="150"/>
        <v/>
      </c>
      <c r="S89" s="89">
        <f>'Budget Summary'!D85</f>
        <v>0</v>
      </c>
      <c r="T89" s="90">
        <f>$S89*'Y2_3 Cash Flow Assumptions'!D89</f>
        <v>0</v>
      </c>
      <c r="U89" s="90">
        <f>$S89*'Y2_3 Cash Flow Assumptions'!E89</f>
        <v>0</v>
      </c>
      <c r="V89" s="90">
        <f>$S89*'Y2_3 Cash Flow Assumptions'!F89</f>
        <v>0</v>
      </c>
      <c r="W89" s="90">
        <f>$S89*'Y2_3 Cash Flow Assumptions'!G89</f>
        <v>0</v>
      </c>
      <c r="X89" s="90">
        <f>$S89*'Y2_3 Cash Flow Assumptions'!H89</f>
        <v>0</v>
      </c>
      <c r="Y89" s="90">
        <f>$S89*'Y2_3 Cash Flow Assumptions'!I89</f>
        <v>0</v>
      </c>
      <c r="Z89" s="90">
        <f>$S89*'Y2_3 Cash Flow Assumptions'!J89</f>
        <v>0</v>
      </c>
      <c r="AA89" s="90">
        <f>$S89*'Y2_3 Cash Flow Assumptions'!K89</f>
        <v>0</v>
      </c>
      <c r="AB89" s="90">
        <f>$S89*'Y2_3 Cash Flow Assumptions'!L89</f>
        <v>0</v>
      </c>
      <c r="AC89" s="90">
        <f>$S89*'Y2_3 Cash Flow Assumptions'!M89</f>
        <v>0</v>
      </c>
      <c r="AD89" s="90">
        <f>$S89*'Y2_3 Cash Flow Assumptions'!N89</f>
        <v>0</v>
      </c>
      <c r="AE89" s="90">
        <f>$S89*'Y2_3 Cash Flow Assumptions'!O89</f>
        <v>0</v>
      </c>
      <c r="AF89" s="89">
        <f>$S89*'Y2_3 Cash Flow Assumptions'!P89</f>
        <v>0</v>
      </c>
      <c r="AG89" s="103" t="str">
        <f t="shared" si="151"/>
        <v/>
      </c>
      <c r="AI89" s="89">
        <f>'Budget Summary'!E85</f>
        <v>0</v>
      </c>
      <c r="AJ89" s="89">
        <f>$AI89*'Y2_3 Cash Flow Assumptions'!D89</f>
        <v>0</v>
      </c>
      <c r="AK89" s="89">
        <f>$AI89*'Y2_3 Cash Flow Assumptions'!E89</f>
        <v>0</v>
      </c>
      <c r="AL89" s="89">
        <f>$AI89*'Y2_3 Cash Flow Assumptions'!F89</f>
        <v>0</v>
      </c>
      <c r="AM89" s="89">
        <f>$AI89*'Y2_3 Cash Flow Assumptions'!G89</f>
        <v>0</v>
      </c>
      <c r="AN89" s="89">
        <f>$AI89*'Y2_3 Cash Flow Assumptions'!H89</f>
        <v>0</v>
      </c>
      <c r="AO89" s="89">
        <f>$AI89*'Y2_3 Cash Flow Assumptions'!I89</f>
        <v>0</v>
      </c>
      <c r="AP89" s="89">
        <f>$AI89*'Y2_3 Cash Flow Assumptions'!J89</f>
        <v>0</v>
      </c>
      <c r="AQ89" s="89">
        <f>$AI89*'Y2_3 Cash Flow Assumptions'!K89</f>
        <v>0</v>
      </c>
      <c r="AR89" s="89">
        <f>$AI89*'Y2_3 Cash Flow Assumptions'!L89</f>
        <v>0</v>
      </c>
      <c r="AS89" s="89">
        <f>$AI89*'Y2_3 Cash Flow Assumptions'!M89</f>
        <v>0</v>
      </c>
      <c r="AT89" s="89">
        <f>$AI89*'Y2_3 Cash Flow Assumptions'!N89</f>
        <v>0</v>
      </c>
      <c r="AU89" s="89">
        <f>$AI89*'Y2_3 Cash Flow Assumptions'!O89</f>
        <v>0</v>
      </c>
      <c r="AV89" s="89">
        <f>$AI89*'Y2_3 Cash Flow Assumptions'!P89</f>
        <v>0</v>
      </c>
      <c r="AW89" s="83" t="str">
        <f t="shared" si="152"/>
        <v/>
      </c>
    </row>
    <row r="90" spans="1:49">
      <c r="A90" s="23"/>
      <c r="B90" s="24" t="s">
        <v>24</v>
      </c>
      <c r="C90" s="89">
        <f>'Budget Summary'!C86</f>
        <v>0</v>
      </c>
      <c r="D90" s="90">
        <f>$C90*'Y1 Cash Flow Assumptions'!D90</f>
        <v>0</v>
      </c>
      <c r="E90" s="90">
        <f>$C90*'Y1 Cash Flow Assumptions'!E90</f>
        <v>0</v>
      </c>
      <c r="F90" s="90">
        <f>$C90*'Y1 Cash Flow Assumptions'!F90</f>
        <v>0</v>
      </c>
      <c r="G90" s="90">
        <f>$C90*'Y1 Cash Flow Assumptions'!G90</f>
        <v>0</v>
      </c>
      <c r="H90" s="90">
        <f>$C90*'Y1 Cash Flow Assumptions'!H90</f>
        <v>0</v>
      </c>
      <c r="I90" s="90">
        <f>$C90*'Y1 Cash Flow Assumptions'!I90</f>
        <v>0</v>
      </c>
      <c r="J90" s="90">
        <f>$C90*'Y1 Cash Flow Assumptions'!J90</f>
        <v>0</v>
      </c>
      <c r="K90" s="90">
        <f>$C90*'Y1 Cash Flow Assumptions'!K90</f>
        <v>0</v>
      </c>
      <c r="L90" s="90">
        <f>$C90*'Y1 Cash Flow Assumptions'!L90</f>
        <v>0</v>
      </c>
      <c r="M90" s="90">
        <f>$C90*'Y1 Cash Flow Assumptions'!M90</f>
        <v>0</v>
      </c>
      <c r="N90" s="90">
        <f>$C90*'Y1 Cash Flow Assumptions'!N90</f>
        <v>0</v>
      </c>
      <c r="O90" s="90">
        <f>$C90*'Y1 Cash Flow Assumptions'!O90</f>
        <v>0</v>
      </c>
      <c r="P90" s="90">
        <f>$C90*'Y1 Cash Flow Assumptions'!P90</f>
        <v>0</v>
      </c>
      <c r="Q90" s="103" t="str">
        <f t="shared" si="150"/>
        <v/>
      </c>
      <c r="S90" s="89">
        <f>'Budget Summary'!D86</f>
        <v>0</v>
      </c>
      <c r="T90" s="90">
        <f>$S90*'Y2_3 Cash Flow Assumptions'!D90</f>
        <v>0</v>
      </c>
      <c r="U90" s="90">
        <f>$S90*'Y2_3 Cash Flow Assumptions'!E90</f>
        <v>0</v>
      </c>
      <c r="V90" s="90">
        <f>$S90*'Y2_3 Cash Flow Assumptions'!F90</f>
        <v>0</v>
      </c>
      <c r="W90" s="90">
        <f>$S90*'Y2_3 Cash Flow Assumptions'!G90</f>
        <v>0</v>
      </c>
      <c r="X90" s="90">
        <f>$S90*'Y2_3 Cash Flow Assumptions'!H90</f>
        <v>0</v>
      </c>
      <c r="Y90" s="90">
        <f>$S90*'Y2_3 Cash Flow Assumptions'!I90</f>
        <v>0</v>
      </c>
      <c r="Z90" s="90">
        <f>$S90*'Y2_3 Cash Flow Assumptions'!J90</f>
        <v>0</v>
      </c>
      <c r="AA90" s="90">
        <f>$S90*'Y2_3 Cash Flow Assumptions'!K90</f>
        <v>0</v>
      </c>
      <c r="AB90" s="90">
        <f>$S90*'Y2_3 Cash Flow Assumptions'!L90</f>
        <v>0</v>
      </c>
      <c r="AC90" s="90">
        <f>$S90*'Y2_3 Cash Flow Assumptions'!M90</f>
        <v>0</v>
      </c>
      <c r="AD90" s="90">
        <f>$S90*'Y2_3 Cash Flow Assumptions'!N90</f>
        <v>0</v>
      </c>
      <c r="AE90" s="90">
        <f>$S90*'Y2_3 Cash Flow Assumptions'!O90</f>
        <v>0</v>
      </c>
      <c r="AF90" s="89">
        <f>$S90*'Y2_3 Cash Flow Assumptions'!P90</f>
        <v>0</v>
      </c>
      <c r="AG90" s="103" t="str">
        <f t="shared" si="151"/>
        <v/>
      </c>
      <c r="AI90" s="89">
        <f>'Budget Summary'!E86</f>
        <v>0</v>
      </c>
      <c r="AJ90" s="89">
        <f>$AI90*'Y2_3 Cash Flow Assumptions'!D90</f>
        <v>0</v>
      </c>
      <c r="AK90" s="89">
        <f>$AI90*'Y2_3 Cash Flow Assumptions'!E90</f>
        <v>0</v>
      </c>
      <c r="AL90" s="89">
        <f>$AI90*'Y2_3 Cash Flow Assumptions'!F90</f>
        <v>0</v>
      </c>
      <c r="AM90" s="89">
        <f>$AI90*'Y2_3 Cash Flow Assumptions'!G90</f>
        <v>0</v>
      </c>
      <c r="AN90" s="89">
        <f>$AI90*'Y2_3 Cash Flow Assumptions'!H90</f>
        <v>0</v>
      </c>
      <c r="AO90" s="89">
        <f>$AI90*'Y2_3 Cash Flow Assumptions'!I90</f>
        <v>0</v>
      </c>
      <c r="AP90" s="89">
        <f>$AI90*'Y2_3 Cash Flow Assumptions'!J90</f>
        <v>0</v>
      </c>
      <c r="AQ90" s="89">
        <f>$AI90*'Y2_3 Cash Flow Assumptions'!K90</f>
        <v>0</v>
      </c>
      <c r="AR90" s="89">
        <f>$AI90*'Y2_3 Cash Flow Assumptions'!L90</f>
        <v>0</v>
      </c>
      <c r="AS90" s="89">
        <f>$AI90*'Y2_3 Cash Flow Assumptions'!M90</f>
        <v>0</v>
      </c>
      <c r="AT90" s="89">
        <f>$AI90*'Y2_3 Cash Flow Assumptions'!N90</f>
        <v>0</v>
      </c>
      <c r="AU90" s="89">
        <f>$AI90*'Y2_3 Cash Flow Assumptions'!O90</f>
        <v>0</v>
      </c>
      <c r="AV90" s="89">
        <f>$AI90*'Y2_3 Cash Flow Assumptions'!P90</f>
        <v>0</v>
      </c>
      <c r="AW90" s="83" t="str">
        <f t="shared" si="152"/>
        <v/>
      </c>
    </row>
    <row r="91" spans="1:49">
      <c r="A91" s="23"/>
      <c r="B91" s="24" t="s">
        <v>272</v>
      </c>
      <c r="C91" s="89">
        <f>'Budget Summary'!C87</f>
        <v>0</v>
      </c>
      <c r="D91" s="90">
        <f>$C91*'Y1 Cash Flow Assumptions'!D91</f>
        <v>0</v>
      </c>
      <c r="E91" s="90">
        <f>$C91*'Y1 Cash Flow Assumptions'!E91</f>
        <v>0</v>
      </c>
      <c r="F91" s="90">
        <f>$C91*'Y1 Cash Flow Assumptions'!F91</f>
        <v>0</v>
      </c>
      <c r="G91" s="90">
        <f>$C91*'Y1 Cash Flow Assumptions'!G91</f>
        <v>0</v>
      </c>
      <c r="H91" s="90">
        <f>$C91*'Y1 Cash Flow Assumptions'!H91</f>
        <v>0</v>
      </c>
      <c r="I91" s="90">
        <f>$C91*'Y1 Cash Flow Assumptions'!I91</f>
        <v>0</v>
      </c>
      <c r="J91" s="90">
        <f>$C91*'Y1 Cash Flow Assumptions'!J91</f>
        <v>0</v>
      </c>
      <c r="K91" s="90">
        <f>$C91*'Y1 Cash Flow Assumptions'!K91</f>
        <v>0</v>
      </c>
      <c r="L91" s="90">
        <f>$C91*'Y1 Cash Flow Assumptions'!L91</f>
        <v>0</v>
      </c>
      <c r="M91" s="90">
        <f>$C91*'Y1 Cash Flow Assumptions'!M91</f>
        <v>0</v>
      </c>
      <c r="N91" s="90">
        <f>$C91*'Y1 Cash Flow Assumptions'!N91</f>
        <v>0</v>
      </c>
      <c r="O91" s="90">
        <f>$C91*'Y1 Cash Flow Assumptions'!O91</f>
        <v>0</v>
      </c>
      <c r="P91" s="90">
        <f>$C91*'Y1 Cash Flow Assumptions'!P91</f>
        <v>0</v>
      </c>
      <c r="Q91" s="103" t="str">
        <f t="shared" si="150"/>
        <v/>
      </c>
      <c r="S91" s="89">
        <f>'Budget Summary'!D87</f>
        <v>0</v>
      </c>
      <c r="T91" s="90">
        <f>$S91*'Y2_3 Cash Flow Assumptions'!D91</f>
        <v>0</v>
      </c>
      <c r="U91" s="90">
        <f>$S91*'Y2_3 Cash Flow Assumptions'!E91</f>
        <v>0</v>
      </c>
      <c r="V91" s="90">
        <f>$S91*'Y2_3 Cash Flow Assumptions'!F91</f>
        <v>0</v>
      </c>
      <c r="W91" s="90">
        <f>$S91*'Y2_3 Cash Flow Assumptions'!G91</f>
        <v>0</v>
      </c>
      <c r="X91" s="90">
        <f>$S91*'Y2_3 Cash Flow Assumptions'!H91</f>
        <v>0</v>
      </c>
      <c r="Y91" s="90">
        <f>$S91*'Y2_3 Cash Flow Assumptions'!I91</f>
        <v>0</v>
      </c>
      <c r="Z91" s="90">
        <f>$S91*'Y2_3 Cash Flow Assumptions'!J91</f>
        <v>0</v>
      </c>
      <c r="AA91" s="90">
        <f>$S91*'Y2_3 Cash Flow Assumptions'!K91</f>
        <v>0</v>
      </c>
      <c r="AB91" s="90">
        <f>$S91*'Y2_3 Cash Flow Assumptions'!L91</f>
        <v>0</v>
      </c>
      <c r="AC91" s="90">
        <f>$S91*'Y2_3 Cash Flow Assumptions'!M91</f>
        <v>0</v>
      </c>
      <c r="AD91" s="90">
        <f>$S91*'Y2_3 Cash Flow Assumptions'!N91</f>
        <v>0</v>
      </c>
      <c r="AE91" s="90">
        <f>$S91*'Y2_3 Cash Flow Assumptions'!O91</f>
        <v>0</v>
      </c>
      <c r="AF91" s="89">
        <f>$S91*'Y2_3 Cash Flow Assumptions'!P91</f>
        <v>0</v>
      </c>
      <c r="AG91" s="103" t="str">
        <f t="shared" si="151"/>
        <v/>
      </c>
      <c r="AI91" s="89">
        <f>'Budget Summary'!E87</f>
        <v>0</v>
      </c>
      <c r="AJ91" s="89">
        <f>$AI91*'Y2_3 Cash Flow Assumptions'!D91</f>
        <v>0</v>
      </c>
      <c r="AK91" s="89">
        <f>$AI91*'Y2_3 Cash Flow Assumptions'!E91</f>
        <v>0</v>
      </c>
      <c r="AL91" s="89">
        <f>$AI91*'Y2_3 Cash Flow Assumptions'!F91</f>
        <v>0</v>
      </c>
      <c r="AM91" s="89">
        <f>$AI91*'Y2_3 Cash Flow Assumptions'!G91</f>
        <v>0</v>
      </c>
      <c r="AN91" s="89">
        <f>$AI91*'Y2_3 Cash Flow Assumptions'!H91</f>
        <v>0</v>
      </c>
      <c r="AO91" s="89">
        <f>$AI91*'Y2_3 Cash Flow Assumptions'!I91</f>
        <v>0</v>
      </c>
      <c r="AP91" s="89">
        <f>$AI91*'Y2_3 Cash Flow Assumptions'!J91</f>
        <v>0</v>
      </c>
      <c r="AQ91" s="89">
        <f>$AI91*'Y2_3 Cash Flow Assumptions'!K91</f>
        <v>0</v>
      </c>
      <c r="AR91" s="89">
        <f>$AI91*'Y2_3 Cash Flow Assumptions'!L91</f>
        <v>0</v>
      </c>
      <c r="AS91" s="89">
        <f>$AI91*'Y2_3 Cash Flow Assumptions'!M91</f>
        <v>0</v>
      </c>
      <c r="AT91" s="89">
        <f>$AI91*'Y2_3 Cash Flow Assumptions'!N91</f>
        <v>0</v>
      </c>
      <c r="AU91" s="89">
        <f>$AI91*'Y2_3 Cash Flow Assumptions'!O91</f>
        <v>0</v>
      </c>
      <c r="AV91" s="89">
        <f>$AI91*'Y2_3 Cash Flow Assumptions'!P91</f>
        <v>0</v>
      </c>
      <c r="AW91" s="83" t="str">
        <f t="shared" si="152"/>
        <v/>
      </c>
    </row>
    <row r="92" spans="1:49">
      <c r="A92" s="23"/>
      <c r="B92" s="24" t="s">
        <v>73</v>
      </c>
      <c r="C92" s="89">
        <f>'Budget Summary'!C88</f>
        <v>16000</v>
      </c>
      <c r="D92" s="90">
        <f>$C92*'Y1 Cash Flow Assumptions'!D92</f>
        <v>1333.3333333333333</v>
      </c>
      <c r="E92" s="90">
        <f>$C92*'Y1 Cash Flow Assumptions'!E92</f>
        <v>1333.3333333333333</v>
      </c>
      <c r="F92" s="90">
        <f>$C92*'Y1 Cash Flow Assumptions'!F92</f>
        <v>1333.3333333333333</v>
      </c>
      <c r="G92" s="90">
        <f>$C92*'Y1 Cash Flow Assumptions'!G92</f>
        <v>1333.3333333333333</v>
      </c>
      <c r="H92" s="90">
        <f>$C92*'Y1 Cash Flow Assumptions'!H92</f>
        <v>1333.3333333333333</v>
      </c>
      <c r="I92" s="90">
        <f>$C92*'Y1 Cash Flow Assumptions'!I92</f>
        <v>1333.3333333333333</v>
      </c>
      <c r="J92" s="90">
        <f>$C92*'Y1 Cash Flow Assumptions'!J92</f>
        <v>1333.3333333333333</v>
      </c>
      <c r="K92" s="90">
        <f>$C92*'Y1 Cash Flow Assumptions'!K92</f>
        <v>1333.3333333333333</v>
      </c>
      <c r="L92" s="90">
        <f>$C92*'Y1 Cash Flow Assumptions'!L92</f>
        <v>1333.3333333333333</v>
      </c>
      <c r="M92" s="90">
        <f>$C92*'Y1 Cash Flow Assumptions'!M92</f>
        <v>1333.3333333333333</v>
      </c>
      <c r="N92" s="90">
        <f>$C92*'Y1 Cash Flow Assumptions'!N92</f>
        <v>1333.3333333333333</v>
      </c>
      <c r="O92" s="90">
        <f>$C92*'Y1 Cash Flow Assumptions'!O92</f>
        <v>1333.3333333333333</v>
      </c>
      <c r="P92" s="90">
        <f>$C92*'Y1 Cash Flow Assumptions'!P92</f>
        <v>0</v>
      </c>
      <c r="Q92" s="103" t="str">
        <f t="shared" si="150"/>
        <v/>
      </c>
      <c r="S92" s="89">
        <f>'Budget Summary'!D88</f>
        <v>16000</v>
      </c>
      <c r="T92" s="90">
        <f>$S92*'Y2_3 Cash Flow Assumptions'!D92</f>
        <v>1333.3333333333333</v>
      </c>
      <c r="U92" s="90">
        <f>$S92*'Y2_3 Cash Flow Assumptions'!E92</f>
        <v>1333.3333333333333</v>
      </c>
      <c r="V92" s="90">
        <f>$S92*'Y2_3 Cash Flow Assumptions'!F92</f>
        <v>1333.3333333333333</v>
      </c>
      <c r="W92" s="90">
        <f>$S92*'Y2_3 Cash Flow Assumptions'!G92</f>
        <v>1333.3333333333333</v>
      </c>
      <c r="X92" s="90">
        <f>$S92*'Y2_3 Cash Flow Assumptions'!H92</f>
        <v>1333.3333333333333</v>
      </c>
      <c r="Y92" s="90">
        <f>$S92*'Y2_3 Cash Flow Assumptions'!I92</f>
        <v>1333.3333333333333</v>
      </c>
      <c r="Z92" s="90">
        <f>$S92*'Y2_3 Cash Flow Assumptions'!J92</f>
        <v>1333.3333333333333</v>
      </c>
      <c r="AA92" s="90">
        <f>$S92*'Y2_3 Cash Flow Assumptions'!K92</f>
        <v>1333.3333333333333</v>
      </c>
      <c r="AB92" s="90">
        <f>$S92*'Y2_3 Cash Flow Assumptions'!L92</f>
        <v>1333.3333333333333</v>
      </c>
      <c r="AC92" s="90">
        <f>$S92*'Y2_3 Cash Flow Assumptions'!M92</f>
        <v>1333.3333333333333</v>
      </c>
      <c r="AD92" s="90">
        <f>$S92*'Y2_3 Cash Flow Assumptions'!N92</f>
        <v>1333.3333333333333</v>
      </c>
      <c r="AE92" s="90">
        <f>$S92*'Y2_3 Cash Flow Assumptions'!O92</f>
        <v>1333.3333333333333</v>
      </c>
      <c r="AF92" s="89">
        <f>$S92*'Y2_3 Cash Flow Assumptions'!P92</f>
        <v>0</v>
      </c>
      <c r="AG92" s="103" t="str">
        <f t="shared" si="151"/>
        <v/>
      </c>
      <c r="AI92" s="89">
        <f>'Budget Summary'!E88</f>
        <v>16000</v>
      </c>
      <c r="AJ92" s="89">
        <f>$AI92*'Y2_3 Cash Flow Assumptions'!D92</f>
        <v>1333.3333333333333</v>
      </c>
      <c r="AK92" s="89">
        <f>$AI92*'Y2_3 Cash Flow Assumptions'!E92</f>
        <v>1333.3333333333333</v>
      </c>
      <c r="AL92" s="89">
        <f>$AI92*'Y2_3 Cash Flow Assumptions'!F92</f>
        <v>1333.3333333333333</v>
      </c>
      <c r="AM92" s="89">
        <f>$AI92*'Y2_3 Cash Flow Assumptions'!G92</f>
        <v>1333.3333333333333</v>
      </c>
      <c r="AN92" s="89">
        <f>$AI92*'Y2_3 Cash Flow Assumptions'!H92</f>
        <v>1333.3333333333333</v>
      </c>
      <c r="AO92" s="89">
        <f>$AI92*'Y2_3 Cash Flow Assumptions'!I92</f>
        <v>1333.3333333333333</v>
      </c>
      <c r="AP92" s="89">
        <f>$AI92*'Y2_3 Cash Flow Assumptions'!J92</f>
        <v>1333.3333333333333</v>
      </c>
      <c r="AQ92" s="89">
        <f>$AI92*'Y2_3 Cash Flow Assumptions'!K92</f>
        <v>1333.3333333333333</v>
      </c>
      <c r="AR92" s="89">
        <f>$AI92*'Y2_3 Cash Flow Assumptions'!L92</f>
        <v>1333.3333333333333</v>
      </c>
      <c r="AS92" s="89">
        <f>$AI92*'Y2_3 Cash Flow Assumptions'!M92</f>
        <v>1333.3333333333333</v>
      </c>
      <c r="AT92" s="89">
        <f>$AI92*'Y2_3 Cash Flow Assumptions'!N92</f>
        <v>1333.3333333333333</v>
      </c>
      <c r="AU92" s="89">
        <f>$AI92*'Y2_3 Cash Flow Assumptions'!O92</f>
        <v>1333.3333333333333</v>
      </c>
      <c r="AV92" s="89">
        <f>$AI92*'Y2_3 Cash Flow Assumptions'!P92</f>
        <v>0</v>
      </c>
      <c r="AW92" s="83" t="str">
        <f t="shared" si="152"/>
        <v/>
      </c>
    </row>
    <row r="93" spans="1:49">
      <c r="A93" s="23"/>
      <c r="B93" s="24" t="s">
        <v>75</v>
      </c>
      <c r="C93" s="89">
        <f>'Budget Summary'!C89</f>
        <v>6000</v>
      </c>
      <c r="D93" s="90">
        <f>$C93*'Y1 Cash Flow Assumptions'!D93</f>
        <v>0</v>
      </c>
      <c r="E93" s="90">
        <f>$C93*'Y1 Cash Flow Assumptions'!E93</f>
        <v>300</v>
      </c>
      <c r="F93" s="90">
        <f>$C93*'Y1 Cash Flow Assumptions'!F93</f>
        <v>600</v>
      </c>
      <c r="G93" s="90">
        <f>$C93*'Y1 Cash Flow Assumptions'!G93</f>
        <v>600</v>
      </c>
      <c r="H93" s="90">
        <f>$C93*'Y1 Cash Flow Assumptions'!H93</f>
        <v>600</v>
      </c>
      <c r="I93" s="90">
        <f>$C93*'Y1 Cash Flow Assumptions'!I93</f>
        <v>600</v>
      </c>
      <c r="J93" s="90">
        <f>$C93*'Y1 Cash Flow Assumptions'!J93</f>
        <v>600</v>
      </c>
      <c r="K93" s="90">
        <f>$C93*'Y1 Cash Flow Assumptions'!K93</f>
        <v>600</v>
      </c>
      <c r="L93" s="90">
        <f>$C93*'Y1 Cash Flow Assumptions'!L93</f>
        <v>600</v>
      </c>
      <c r="M93" s="90">
        <f>$C93*'Y1 Cash Flow Assumptions'!M93</f>
        <v>600</v>
      </c>
      <c r="N93" s="90">
        <f>$C93*'Y1 Cash Flow Assumptions'!N93</f>
        <v>600</v>
      </c>
      <c r="O93" s="90">
        <f>$C93*'Y1 Cash Flow Assumptions'!O93</f>
        <v>300</v>
      </c>
      <c r="P93" s="90">
        <f>$C93*'Y1 Cash Flow Assumptions'!P93</f>
        <v>0</v>
      </c>
      <c r="Q93" s="103" t="str">
        <f t="shared" si="150"/>
        <v/>
      </c>
      <c r="S93" s="89">
        <f>'Budget Summary'!D89</f>
        <v>6000</v>
      </c>
      <c r="T93" s="90">
        <f>$S93*'Y2_3 Cash Flow Assumptions'!D93</f>
        <v>0</v>
      </c>
      <c r="U93" s="90">
        <f>$S93*'Y2_3 Cash Flow Assumptions'!E93</f>
        <v>300</v>
      </c>
      <c r="V93" s="90">
        <f>$S93*'Y2_3 Cash Flow Assumptions'!F93</f>
        <v>600</v>
      </c>
      <c r="W93" s="90">
        <f>$S93*'Y2_3 Cash Flow Assumptions'!G93</f>
        <v>600</v>
      </c>
      <c r="X93" s="90">
        <f>$S93*'Y2_3 Cash Flow Assumptions'!H93</f>
        <v>600</v>
      </c>
      <c r="Y93" s="90">
        <f>$S93*'Y2_3 Cash Flow Assumptions'!I93</f>
        <v>600</v>
      </c>
      <c r="Z93" s="90">
        <f>$S93*'Y2_3 Cash Flow Assumptions'!J93</f>
        <v>600</v>
      </c>
      <c r="AA93" s="90">
        <f>$S93*'Y2_3 Cash Flow Assumptions'!K93</f>
        <v>600</v>
      </c>
      <c r="AB93" s="90">
        <f>$S93*'Y2_3 Cash Flow Assumptions'!L93</f>
        <v>600</v>
      </c>
      <c r="AC93" s="90">
        <f>$S93*'Y2_3 Cash Flow Assumptions'!M93</f>
        <v>600</v>
      </c>
      <c r="AD93" s="90">
        <f>$S93*'Y2_3 Cash Flow Assumptions'!N93</f>
        <v>600</v>
      </c>
      <c r="AE93" s="90">
        <f>$S93*'Y2_3 Cash Flow Assumptions'!O93</f>
        <v>300</v>
      </c>
      <c r="AF93" s="89">
        <f>$S93*'Y2_3 Cash Flow Assumptions'!P93</f>
        <v>0</v>
      </c>
      <c r="AG93" s="103" t="str">
        <f t="shared" si="151"/>
        <v/>
      </c>
      <c r="AI93" s="89">
        <f>'Budget Summary'!E89</f>
        <v>6000</v>
      </c>
      <c r="AJ93" s="89">
        <f>$AI93*'Y2_3 Cash Flow Assumptions'!D93</f>
        <v>0</v>
      </c>
      <c r="AK93" s="89">
        <f>$AI93*'Y2_3 Cash Flow Assumptions'!E93</f>
        <v>300</v>
      </c>
      <c r="AL93" s="89">
        <f>$AI93*'Y2_3 Cash Flow Assumptions'!F93</f>
        <v>600</v>
      </c>
      <c r="AM93" s="89">
        <f>$AI93*'Y2_3 Cash Flow Assumptions'!G93</f>
        <v>600</v>
      </c>
      <c r="AN93" s="89">
        <f>$AI93*'Y2_3 Cash Flow Assumptions'!H93</f>
        <v>600</v>
      </c>
      <c r="AO93" s="89">
        <f>$AI93*'Y2_3 Cash Flow Assumptions'!I93</f>
        <v>600</v>
      </c>
      <c r="AP93" s="89">
        <f>$AI93*'Y2_3 Cash Flow Assumptions'!J93</f>
        <v>600</v>
      </c>
      <c r="AQ93" s="89">
        <f>$AI93*'Y2_3 Cash Flow Assumptions'!K93</f>
        <v>600</v>
      </c>
      <c r="AR93" s="89">
        <f>$AI93*'Y2_3 Cash Flow Assumptions'!L93</f>
        <v>600</v>
      </c>
      <c r="AS93" s="89">
        <f>$AI93*'Y2_3 Cash Flow Assumptions'!M93</f>
        <v>600</v>
      </c>
      <c r="AT93" s="89">
        <f>$AI93*'Y2_3 Cash Flow Assumptions'!N93</f>
        <v>600</v>
      </c>
      <c r="AU93" s="89">
        <f>$AI93*'Y2_3 Cash Flow Assumptions'!O93</f>
        <v>300</v>
      </c>
      <c r="AV93" s="89">
        <f>$AI93*'Y2_3 Cash Flow Assumptions'!P93</f>
        <v>0</v>
      </c>
      <c r="AW93" s="83" t="str">
        <f t="shared" si="152"/>
        <v/>
      </c>
    </row>
    <row r="94" spans="1:49">
      <c r="A94" s="23"/>
      <c r="B94" s="24" t="s">
        <v>66</v>
      </c>
      <c r="C94" s="89">
        <f>'Budget Summary'!C90</f>
        <v>0</v>
      </c>
      <c r="D94" s="89">
        <f t="shared" ref="D94:O94" si="153">D119+D130+D141</f>
        <v>0</v>
      </c>
      <c r="E94" s="89">
        <f t="shared" si="153"/>
        <v>0</v>
      </c>
      <c r="F94" s="89">
        <f t="shared" si="153"/>
        <v>0</v>
      </c>
      <c r="G94" s="89">
        <f t="shared" si="153"/>
        <v>0</v>
      </c>
      <c r="H94" s="89">
        <f t="shared" si="153"/>
        <v>0</v>
      </c>
      <c r="I94" s="89">
        <f t="shared" si="153"/>
        <v>0</v>
      </c>
      <c r="J94" s="89">
        <f t="shared" si="153"/>
        <v>0</v>
      </c>
      <c r="K94" s="89">
        <f t="shared" si="153"/>
        <v>0</v>
      </c>
      <c r="L94" s="89">
        <f t="shared" si="153"/>
        <v>0</v>
      </c>
      <c r="M94" s="89">
        <f t="shared" si="153"/>
        <v>0</v>
      </c>
      <c r="N94" s="89">
        <f t="shared" si="153"/>
        <v>0</v>
      </c>
      <c r="O94" s="89">
        <f t="shared" si="153"/>
        <v>0</v>
      </c>
      <c r="P94" s="92"/>
      <c r="Q94" s="103" t="str">
        <f t="shared" si="150"/>
        <v/>
      </c>
      <c r="S94" s="89">
        <f>'Budget Summary'!D90</f>
        <v>0</v>
      </c>
      <c r="T94" s="89">
        <f t="shared" ref="T94:AE94" si="154">T119+T130+T141</f>
        <v>0</v>
      </c>
      <c r="U94" s="89">
        <f t="shared" si="154"/>
        <v>0</v>
      </c>
      <c r="V94" s="89">
        <f t="shared" si="154"/>
        <v>0</v>
      </c>
      <c r="W94" s="89">
        <f t="shared" si="154"/>
        <v>0</v>
      </c>
      <c r="X94" s="89">
        <f t="shared" si="154"/>
        <v>0</v>
      </c>
      <c r="Y94" s="89">
        <f t="shared" si="154"/>
        <v>0</v>
      </c>
      <c r="Z94" s="89">
        <f t="shared" si="154"/>
        <v>0</v>
      </c>
      <c r="AA94" s="89">
        <f t="shared" si="154"/>
        <v>0</v>
      </c>
      <c r="AB94" s="89">
        <f>AB119+AB130+AB141</f>
        <v>0</v>
      </c>
      <c r="AC94" s="89">
        <f t="shared" si="154"/>
        <v>0</v>
      </c>
      <c r="AD94" s="89">
        <f t="shared" si="154"/>
        <v>0</v>
      </c>
      <c r="AE94" s="89">
        <f t="shared" si="154"/>
        <v>0</v>
      </c>
      <c r="AF94" s="92"/>
      <c r="AG94" s="103" t="str">
        <f t="shared" si="151"/>
        <v/>
      </c>
      <c r="AI94" s="89">
        <f>'Budget Summary'!E90</f>
        <v>0</v>
      </c>
      <c r="AJ94" s="89">
        <f t="shared" ref="AJ94:AU94" si="155">AJ119+AJ130+AJ141</f>
        <v>0</v>
      </c>
      <c r="AK94" s="89">
        <f t="shared" si="155"/>
        <v>0</v>
      </c>
      <c r="AL94" s="89">
        <f t="shared" si="155"/>
        <v>0</v>
      </c>
      <c r="AM94" s="89">
        <f t="shared" si="155"/>
        <v>0</v>
      </c>
      <c r="AN94" s="89">
        <f t="shared" si="155"/>
        <v>0</v>
      </c>
      <c r="AO94" s="89">
        <f t="shared" si="155"/>
        <v>0</v>
      </c>
      <c r="AP94" s="89">
        <f t="shared" si="155"/>
        <v>0</v>
      </c>
      <c r="AQ94" s="89">
        <f t="shared" si="155"/>
        <v>0</v>
      </c>
      <c r="AR94" s="89">
        <f t="shared" si="155"/>
        <v>0</v>
      </c>
      <c r="AS94" s="89">
        <f t="shared" si="155"/>
        <v>0</v>
      </c>
      <c r="AT94" s="89">
        <f t="shared" si="155"/>
        <v>0</v>
      </c>
      <c r="AU94" s="89">
        <f t="shared" si="155"/>
        <v>0</v>
      </c>
      <c r="AV94" s="92"/>
      <c r="AW94" s="83" t="str">
        <f t="shared" si="152"/>
        <v/>
      </c>
    </row>
    <row r="95" spans="1:49">
      <c r="A95" s="23"/>
      <c r="B95" s="24" t="s">
        <v>65</v>
      </c>
      <c r="C95" s="89">
        <f>'Budget Summary'!C91</f>
        <v>310758</v>
      </c>
      <c r="D95" s="89">
        <f>$C95*'Y1 Cash Flow Assumptions'!D95</f>
        <v>0</v>
      </c>
      <c r="E95" s="89">
        <f>$C95*'Y1 Cash Flow Assumptions'!E95</f>
        <v>0</v>
      </c>
      <c r="F95" s="89">
        <f>$C95*'Y1 Cash Flow Assumptions'!F95</f>
        <v>0</v>
      </c>
      <c r="G95" s="89">
        <f>$C95*'Y1 Cash Flow Assumptions'!G95</f>
        <v>80797.08</v>
      </c>
      <c r="H95" s="89">
        <f>$C95*'Y1 Cash Flow Assumptions'!H95</f>
        <v>24860.639999999999</v>
      </c>
      <c r="I95" s="89">
        <f>$C95*'Y1 Cash Flow Assumptions'!I95</f>
        <v>24860.639999999999</v>
      </c>
      <c r="J95" s="89">
        <f>$C95*'Y1 Cash Flow Assumptions'!J95</f>
        <v>24860.639999999999</v>
      </c>
      <c r="K95" s="89">
        <f>$C95*'Y1 Cash Flow Assumptions'!K95</f>
        <v>24860.639999999999</v>
      </c>
      <c r="L95" s="89">
        <f>($C95-SUM($D95:$K95))*'Y1 Cash Flow Assumptions'!L95</f>
        <v>43506.119999999995</v>
      </c>
      <c r="M95" s="89">
        <f>($C95-SUM($D95:$K95))*'Y1 Cash Flow Assumptions'!M95</f>
        <v>21753.059999999998</v>
      </c>
      <c r="N95" s="89">
        <f>($C95-SUM($D95:$K95))*'Y1 Cash Flow Assumptions'!N95</f>
        <v>21753.059999999998</v>
      </c>
      <c r="O95" s="89">
        <f>($C95-SUM($D95:$K95))*'Y1 Cash Flow Assumptions'!O95</f>
        <v>21753.059999999998</v>
      </c>
      <c r="P95" s="89">
        <f>($C95-SUM($D95:$K95))*'Y1 Cash Flow Assumptions'!P95</f>
        <v>21753.059999999998</v>
      </c>
      <c r="Q95" s="103" t="str">
        <f t="shared" si="150"/>
        <v/>
      </c>
      <c r="S95" s="89">
        <f>'Budget Summary'!D91</f>
        <v>321000</v>
      </c>
      <c r="T95" s="89">
        <f>$C95*'Y2_3 Cash Flow Assumptions'!D95</f>
        <v>0</v>
      </c>
      <c r="U95" s="89">
        <f>$C95*'Y2_3 Cash Flow Assumptions'!E95</f>
        <v>18645.48</v>
      </c>
      <c r="V95" s="89">
        <f>$C95*'Y2_3 Cash Flow Assumptions'!F95</f>
        <v>37290.959999999999</v>
      </c>
      <c r="W95" s="89">
        <f>$C95*'Y2_3 Cash Flow Assumptions'!G95</f>
        <v>24860.639999999999</v>
      </c>
      <c r="X95" s="89">
        <f>$C95*'Y2_3 Cash Flow Assumptions'!H95</f>
        <v>24860.639999999999</v>
      </c>
      <c r="Y95" s="89">
        <f>$C95*'Y2_3 Cash Flow Assumptions'!I95</f>
        <v>24860.639999999999</v>
      </c>
      <c r="Z95" s="89">
        <f>$C95*'Y2_3 Cash Flow Assumptions'!J95</f>
        <v>24860.639999999999</v>
      </c>
      <c r="AA95" s="89">
        <f>$C95*'Y2_3 Cash Flow Assumptions'!K95</f>
        <v>24860.639999999999</v>
      </c>
      <c r="AB95" s="89">
        <f>'Y2_3 Cash Flow Assumptions'!L95*('Cash Flow Input'!$S95-SUM('Cash Flow Input'!$T95:$AA95))</f>
        <v>46920.119999999995</v>
      </c>
      <c r="AC95" s="89">
        <f>'Y2_3 Cash Flow Assumptions'!M95*('Cash Flow Input'!$S95-SUM('Cash Flow Input'!$T95:$AA95))</f>
        <v>23460.059999999998</v>
      </c>
      <c r="AD95" s="89">
        <f>'Y2_3 Cash Flow Assumptions'!N95*('Cash Flow Input'!$S95-SUM('Cash Flow Input'!$T95:$AA95))</f>
        <v>23460.059999999998</v>
      </c>
      <c r="AE95" s="89">
        <f>'Y2_3 Cash Flow Assumptions'!O95*('Cash Flow Input'!$S95-SUM('Cash Flow Input'!$T95:$AA95))</f>
        <v>23460.059999999998</v>
      </c>
      <c r="AF95" s="89">
        <f>'Y2_3 Cash Flow Assumptions'!P95*('Cash Flow Input'!$S95-SUM('Cash Flow Input'!$T95:$AA95))</f>
        <v>23460.059999999998</v>
      </c>
      <c r="AG95" s="103" t="str">
        <f t="shared" si="151"/>
        <v/>
      </c>
      <c r="AI95" s="89">
        <f>'Budget Summary'!E91</f>
        <v>342000</v>
      </c>
      <c r="AJ95" s="89">
        <f>$S95*'Y2_3 Cash Flow Assumptions'!D95</f>
        <v>0</v>
      </c>
      <c r="AK95" s="89">
        <f>$S95*'Y2_3 Cash Flow Assumptions'!E95</f>
        <v>19260</v>
      </c>
      <c r="AL95" s="89">
        <f>$S95*'Y2_3 Cash Flow Assumptions'!F95</f>
        <v>38520</v>
      </c>
      <c r="AM95" s="89">
        <f>$S95*'Y2_3 Cash Flow Assumptions'!G95</f>
        <v>25680</v>
      </c>
      <c r="AN95" s="89">
        <f>$S95*'Y2_3 Cash Flow Assumptions'!H95</f>
        <v>25680</v>
      </c>
      <c r="AO95" s="89">
        <f>$S95*'Y2_3 Cash Flow Assumptions'!I95</f>
        <v>25680</v>
      </c>
      <c r="AP95" s="89">
        <f>$S95*'Y2_3 Cash Flow Assumptions'!J95</f>
        <v>25680</v>
      </c>
      <c r="AQ95" s="89">
        <f>$S95*'Y2_3 Cash Flow Assumptions'!K95</f>
        <v>25680</v>
      </c>
      <c r="AR95" s="90">
        <f>'Y2_3 Cash Flow Assumptions'!L95*('Cash Flow Input'!$AI95-SUM('Cash Flow Input'!$AJ95:$AQ95))</f>
        <v>51940</v>
      </c>
      <c r="AS95" s="90">
        <f>'Y2_3 Cash Flow Assumptions'!M95*('Cash Flow Input'!$AI95-SUM('Cash Flow Input'!$AJ95:$AQ95))</f>
        <v>25970</v>
      </c>
      <c r="AT95" s="90">
        <f>'Y2_3 Cash Flow Assumptions'!N95*('Cash Flow Input'!$AI95-SUM('Cash Flow Input'!$AJ95:$AQ95))</f>
        <v>25970</v>
      </c>
      <c r="AU95" s="90">
        <f>'Y2_3 Cash Flow Assumptions'!O95*('Cash Flow Input'!$AI95-SUM('Cash Flow Input'!$AJ95:$AQ95))</f>
        <v>25970</v>
      </c>
      <c r="AV95" s="90">
        <f>'Y2_3 Cash Flow Assumptions'!P95*('Cash Flow Input'!$AI95-SUM('Cash Flow Input'!$AJ95:$AQ95))</f>
        <v>25970</v>
      </c>
      <c r="AW95" s="83" t="str">
        <f t="shared" si="152"/>
        <v/>
      </c>
    </row>
    <row r="96" spans="1:49">
      <c r="A96" s="23"/>
      <c r="B96" s="24" t="s">
        <v>67</v>
      </c>
      <c r="C96" s="89">
        <f>'Budget Summary'!C92</f>
        <v>6000</v>
      </c>
      <c r="D96" s="89">
        <f>$C96*'Y1 Cash Flow Assumptions'!D96</f>
        <v>500</v>
      </c>
      <c r="E96" s="89">
        <f>$C96*'Y1 Cash Flow Assumptions'!E96</f>
        <v>500</v>
      </c>
      <c r="F96" s="89">
        <f>$C96*'Y1 Cash Flow Assumptions'!F96</f>
        <v>500</v>
      </c>
      <c r="G96" s="89">
        <f>$C96*'Y1 Cash Flow Assumptions'!G96</f>
        <v>500</v>
      </c>
      <c r="H96" s="89">
        <f>$C96*'Y1 Cash Flow Assumptions'!H96</f>
        <v>500</v>
      </c>
      <c r="I96" s="89">
        <f>$C96*'Y1 Cash Flow Assumptions'!I96</f>
        <v>500</v>
      </c>
      <c r="J96" s="89">
        <f>$C96*'Y1 Cash Flow Assumptions'!J96</f>
        <v>500</v>
      </c>
      <c r="K96" s="89">
        <f>$C96*'Y1 Cash Flow Assumptions'!K96</f>
        <v>500</v>
      </c>
      <c r="L96" s="89">
        <f>$C96*'Y1 Cash Flow Assumptions'!L96</f>
        <v>500</v>
      </c>
      <c r="M96" s="89">
        <f>$C96*'Y1 Cash Flow Assumptions'!M96</f>
        <v>500</v>
      </c>
      <c r="N96" s="89">
        <f>$C96*'Y1 Cash Flow Assumptions'!N96</f>
        <v>500</v>
      </c>
      <c r="O96" s="89">
        <f>$C96*'Y1 Cash Flow Assumptions'!O96</f>
        <v>500</v>
      </c>
      <c r="P96" s="89">
        <f>$C96*'Y1 Cash Flow Assumptions'!P96</f>
        <v>0</v>
      </c>
      <c r="Q96" s="103" t="str">
        <f t="shared" si="150"/>
        <v/>
      </c>
      <c r="S96" s="89">
        <f>'Budget Summary'!D92</f>
        <v>6000</v>
      </c>
      <c r="T96" s="89">
        <f>$S96*'Y2_3 Cash Flow Assumptions'!D96</f>
        <v>500</v>
      </c>
      <c r="U96" s="89">
        <f>$S96*'Y2_3 Cash Flow Assumptions'!E96</f>
        <v>500</v>
      </c>
      <c r="V96" s="89">
        <f>$S96*'Y2_3 Cash Flow Assumptions'!F96</f>
        <v>500</v>
      </c>
      <c r="W96" s="89">
        <f>$S96*'Y2_3 Cash Flow Assumptions'!G96</f>
        <v>500</v>
      </c>
      <c r="X96" s="89">
        <f>$S96*'Y2_3 Cash Flow Assumptions'!H96</f>
        <v>500</v>
      </c>
      <c r="Y96" s="89">
        <f>$S96*'Y2_3 Cash Flow Assumptions'!I96</f>
        <v>500</v>
      </c>
      <c r="Z96" s="89">
        <f>$S96*'Y2_3 Cash Flow Assumptions'!J96</f>
        <v>500</v>
      </c>
      <c r="AA96" s="89">
        <f>$S96*'Y2_3 Cash Flow Assumptions'!K96</f>
        <v>500</v>
      </c>
      <c r="AB96" s="89">
        <f>$S96*'Y2_3 Cash Flow Assumptions'!L96</f>
        <v>500</v>
      </c>
      <c r="AC96" s="89">
        <f>$S96*'Y2_3 Cash Flow Assumptions'!M96</f>
        <v>500</v>
      </c>
      <c r="AD96" s="89">
        <f>$S96*'Y2_3 Cash Flow Assumptions'!N96</f>
        <v>500</v>
      </c>
      <c r="AE96" s="89">
        <f>$S96*'Y2_3 Cash Flow Assumptions'!O96</f>
        <v>500</v>
      </c>
      <c r="AF96" s="89">
        <f>$S96*'Y2_3 Cash Flow Assumptions'!P96</f>
        <v>0</v>
      </c>
      <c r="AG96" s="103" t="str">
        <f t="shared" si="151"/>
        <v/>
      </c>
      <c r="AI96" s="89">
        <f>'Budget Summary'!E92</f>
        <v>6000</v>
      </c>
      <c r="AJ96" s="89">
        <f>$AI96*'Y2_3 Cash Flow Assumptions'!D96</f>
        <v>500</v>
      </c>
      <c r="AK96" s="89">
        <f>$AI96*'Y2_3 Cash Flow Assumptions'!E96</f>
        <v>500</v>
      </c>
      <c r="AL96" s="89">
        <f>$AI96*'Y2_3 Cash Flow Assumptions'!F96</f>
        <v>500</v>
      </c>
      <c r="AM96" s="89">
        <f>$AI96*'Y2_3 Cash Flow Assumptions'!G96</f>
        <v>500</v>
      </c>
      <c r="AN96" s="89">
        <f>$AI96*'Y2_3 Cash Flow Assumptions'!H96</f>
        <v>500</v>
      </c>
      <c r="AO96" s="89">
        <f>$AI96*'Y2_3 Cash Flow Assumptions'!I96</f>
        <v>500</v>
      </c>
      <c r="AP96" s="89">
        <f>$AI96*'Y2_3 Cash Flow Assumptions'!J96</f>
        <v>500</v>
      </c>
      <c r="AQ96" s="89">
        <f>$AI96*'Y2_3 Cash Flow Assumptions'!K96</f>
        <v>500</v>
      </c>
      <c r="AR96" s="89">
        <f>$AI96*'Y2_3 Cash Flow Assumptions'!L96</f>
        <v>500</v>
      </c>
      <c r="AS96" s="89">
        <f>$AI96*'Y2_3 Cash Flow Assumptions'!M96</f>
        <v>500</v>
      </c>
      <c r="AT96" s="89">
        <f>$AI96*'Y2_3 Cash Flow Assumptions'!N96</f>
        <v>500</v>
      </c>
      <c r="AU96" s="89">
        <f>$AI96*'Y2_3 Cash Flow Assumptions'!O96</f>
        <v>500</v>
      </c>
      <c r="AV96" s="89">
        <f>$AI96*'Y2_3 Cash Flow Assumptions'!P96</f>
        <v>0</v>
      </c>
      <c r="AW96" s="83" t="str">
        <f t="shared" si="152"/>
        <v/>
      </c>
    </row>
    <row r="97" spans="1:49">
      <c r="A97" s="23"/>
      <c r="B97" s="24" t="s">
        <v>25</v>
      </c>
      <c r="C97" s="89">
        <f>'Budget Summary'!C93</f>
        <v>89744.239247999983</v>
      </c>
      <c r="D97" s="89">
        <f>$C97*'Y1 Cash Flow Assumptions'!D97</f>
        <v>0</v>
      </c>
      <c r="E97" s="89">
        <f>$C97*'Y1 Cash Flow Assumptions'!E97</f>
        <v>0</v>
      </c>
      <c r="F97" s="89">
        <f>$C97*'Y1 Cash Flow Assumptions'!F97</f>
        <v>0</v>
      </c>
      <c r="G97" s="89">
        <f>$C97*'Y1 Cash Flow Assumptions'!G97</f>
        <v>23333.502204479995</v>
      </c>
      <c r="H97" s="89">
        <f>$C97*'Y1 Cash Flow Assumptions'!H97</f>
        <v>7179.5391398399988</v>
      </c>
      <c r="I97" s="89">
        <f>$C97*'Y1 Cash Flow Assumptions'!I97</f>
        <v>7179.5391398399988</v>
      </c>
      <c r="J97" s="89">
        <f>$C97*'Y1 Cash Flow Assumptions'!J97</f>
        <v>7179.5391398399988</v>
      </c>
      <c r="K97" s="89">
        <f>$C97*'Y1 Cash Flow Assumptions'!K97</f>
        <v>7179.5391398399988</v>
      </c>
      <c r="L97" s="89">
        <f>($C97-SUM($D97:$K97))*'Y1 Cash Flow Assumptions'!L97</f>
        <v>12564.193494720001</v>
      </c>
      <c r="M97" s="89">
        <f>($C97-SUM($D97:$K97))*'Y1 Cash Flow Assumptions'!M97</f>
        <v>6282.0967473600003</v>
      </c>
      <c r="N97" s="89">
        <f>($C97-SUM($D97:$K97))*'Y1 Cash Flow Assumptions'!N97</f>
        <v>6282.0967473600003</v>
      </c>
      <c r="O97" s="89">
        <f>($C97-SUM($D97:$K97))*'Y1 Cash Flow Assumptions'!O97</f>
        <v>6282.0967473600003</v>
      </c>
      <c r="P97" s="89">
        <f>($C97-SUM($D97:$K97))*'Y1 Cash Flow Assumptions'!P97</f>
        <v>6282.0967473600003</v>
      </c>
      <c r="Q97" s="103" t="str">
        <f t="shared" si="150"/>
        <v/>
      </c>
      <c r="S97" s="89">
        <f>'Budget Summary'!D93</f>
        <v>96750.582695999998</v>
      </c>
      <c r="T97" s="89">
        <f>$C97*'Y2_3 Cash Flow Assumptions'!D97</f>
        <v>0</v>
      </c>
      <c r="U97" s="89">
        <f>$C97*'Y2_3 Cash Flow Assumptions'!E97</f>
        <v>5384.6543548799991</v>
      </c>
      <c r="V97" s="89">
        <f>$C97*'Y2_3 Cash Flow Assumptions'!F97</f>
        <v>10769.308709759998</v>
      </c>
      <c r="W97" s="89">
        <f>$C97*'Y2_3 Cash Flow Assumptions'!G97</f>
        <v>7179.5391398399988</v>
      </c>
      <c r="X97" s="89">
        <f>$C97*'Y2_3 Cash Flow Assumptions'!H97</f>
        <v>7179.5391398399988</v>
      </c>
      <c r="Y97" s="89">
        <f>$C97*'Y2_3 Cash Flow Assumptions'!I97</f>
        <v>7179.5391398399988</v>
      </c>
      <c r="Z97" s="89">
        <f>$C97*'Y2_3 Cash Flow Assumptions'!J97</f>
        <v>7179.5391398399988</v>
      </c>
      <c r="AA97" s="89">
        <f>$C97*'Y2_3 Cash Flow Assumptions'!K97</f>
        <v>7179.5391398399988</v>
      </c>
      <c r="AB97" s="90">
        <f>'Y2_3 Cash Flow Assumptions'!L97*('Cash Flow Input'!$S97-SUM('Cash Flow Input'!$T97:$AA97))</f>
        <v>14899.641310720006</v>
      </c>
      <c r="AC97" s="90">
        <f>'Y2_3 Cash Flow Assumptions'!M97*('Cash Flow Input'!$S97-SUM('Cash Flow Input'!$T97:$AA97))</f>
        <v>7449.820655360003</v>
      </c>
      <c r="AD97" s="90">
        <f>'Y2_3 Cash Flow Assumptions'!N97*('Cash Flow Input'!$S97-SUM('Cash Flow Input'!$T97:$AA97))</f>
        <v>7449.820655360003</v>
      </c>
      <c r="AE97" s="90">
        <f>'Y2_3 Cash Flow Assumptions'!O97*('Cash Flow Input'!$S97-SUM('Cash Flow Input'!$T97:$AA97))</f>
        <v>7449.820655360003</v>
      </c>
      <c r="AF97" s="89">
        <f>'Y2_3 Cash Flow Assumptions'!P97*('Cash Flow Input'!$S97-SUM('Cash Flow Input'!$T97:$AA97))</f>
        <v>7449.820655360003</v>
      </c>
      <c r="AG97" s="103" t="str">
        <f t="shared" si="151"/>
        <v/>
      </c>
      <c r="AI97" s="89">
        <f>'Budget Summary'!E93</f>
        <v>105452.81999999999</v>
      </c>
      <c r="AJ97" s="89">
        <f>$S97*'Y2_3 Cash Flow Assumptions'!D97</f>
        <v>0</v>
      </c>
      <c r="AK97" s="89">
        <f>$S97*'Y2_3 Cash Flow Assumptions'!E97</f>
        <v>5805.0349617599995</v>
      </c>
      <c r="AL97" s="89">
        <f>$S97*'Y2_3 Cash Flow Assumptions'!F97</f>
        <v>11610.069923519999</v>
      </c>
      <c r="AM97" s="89">
        <f>$S97*'Y2_3 Cash Flow Assumptions'!G97</f>
        <v>7740.0466156800003</v>
      </c>
      <c r="AN97" s="89">
        <f>$S97*'Y2_3 Cash Flow Assumptions'!H97</f>
        <v>7740.0466156800003</v>
      </c>
      <c r="AO97" s="89">
        <f>$S97*'Y2_3 Cash Flow Assumptions'!I97</f>
        <v>7740.0466156800003</v>
      </c>
      <c r="AP97" s="89">
        <f>$S97*'Y2_3 Cash Flow Assumptions'!J97</f>
        <v>7740.0466156800003</v>
      </c>
      <c r="AQ97" s="89">
        <f>$S97*'Y2_3 Cash Flow Assumptions'!K97</f>
        <v>7740.0466156800003</v>
      </c>
      <c r="AR97" s="90">
        <f>'Y2_3 Cash Flow Assumptions'!L97*('Cash Flow Input'!$AI97-SUM('Cash Flow Input'!$AJ97:$AQ97))</f>
        <v>16445.827345439993</v>
      </c>
      <c r="AS97" s="90">
        <f>'Y2_3 Cash Flow Assumptions'!M97*('Cash Flow Input'!$AI97-SUM('Cash Flow Input'!$AJ97:$AQ97))</f>
        <v>8222.9136727199966</v>
      </c>
      <c r="AT97" s="90">
        <f>'Y2_3 Cash Flow Assumptions'!N97*('Cash Flow Input'!$AI97-SUM('Cash Flow Input'!$AJ97:$AQ97))</f>
        <v>8222.9136727199966</v>
      </c>
      <c r="AU97" s="90">
        <f>'Y2_3 Cash Flow Assumptions'!O97*('Cash Flow Input'!$AI97-SUM('Cash Flow Input'!$AJ97:$AQ97))</f>
        <v>8222.9136727199966</v>
      </c>
      <c r="AV97" s="90">
        <f>'Y2_3 Cash Flow Assumptions'!P97*('Cash Flow Input'!$AI97-SUM('Cash Flow Input'!$AJ97:$AQ97))</f>
        <v>8222.9136727199966</v>
      </c>
      <c r="AW97" s="83" t="str">
        <f t="shared" si="152"/>
        <v/>
      </c>
    </row>
    <row r="98" spans="1:49">
      <c r="A98" s="23"/>
      <c r="B98" s="24" t="s">
        <v>68</v>
      </c>
      <c r="C98" s="89">
        <f>'Budget Summary'!C94</f>
        <v>70000</v>
      </c>
      <c r="D98" s="89">
        <f>$C98*'Y1 Cash Flow Assumptions'!D98</f>
        <v>5833.333333333333</v>
      </c>
      <c r="E98" s="89">
        <f>$C98*'Y1 Cash Flow Assumptions'!E98</f>
        <v>5833.333333333333</v>
      </c>
      <c r="F98" s="89">
        <f>$C98*'Y1 Cash Flow Assumptions'!F98</f>
        <v>5833.333333333333</v>
      </c>
      <c r="G98" s="89">
        <f>$C98*'Y1 Cash Flow Assumptions'!G98</f>
        <v>5833.333333333333</v>
      </c>
      <c r="H98" s="89">
        <f>$C98*'Y1 Cash Flow Assumptions'!H98</f>
        <v>5833.333333333333</v>
      </c>
      <c r="I98" s="89">
        <f>$C98*'Y1 Cash Flow Assumptions'!I98</f>
        <v>5833.333333333333</v>
      </c>
      <c r="J98" s="89">
        <f>$C98*'Y1 Cash Flow Assumptions'!J98</f>
        <v>5833.333333333333</v>
      </c>
      <c r="K98" s="89">
        <f>$C98*'Y1 Cash Flow Assumptions'!K98</f>
        <v>5833.333333333333</v>
      </c>
      <c r="L98" s="89">
        <f>$C98*'Y1 Cash Flow Assumptions'!L98</f>
        <v>5833.333333333333</v>
      </c>
      <c r="M98" s="89">
        <f>$C98*'Y1 Cash Flow Assumptions'!M98</f>
        <v>5833.333333333333</v>
      </c>
      <c r="N98" s="89">
        <f>$C98*'Y1 Cash Flow Assumptions'!N98</f>
        <v>5833.333333333333</v>
      </c>
      <c r="O98" s="89">
        <f>$C98*'Y1 Cash Flow Assumptions'!O98</f>
        <v>5833.333333333333</v>
      </c>
      <c r="P98" s="89">
        <f>$C98*'Y1 Cash Flow Assumptions'!P98</f>
        <v>0</v>
      </c>
      <c r="Q98" s="103" t="str">
        <f t="shared" si="150"/>
        <v/>
      </c>
      <c r="S98" s="89">
        <f>'Budget Summary'!D94</f>
        <v>70000</v>
      </c>
      <c r="T98" s="89">
        <f>$S98*'Y2_3 Cash Flow Assumptions'!D98</f>
        <v>5833.333333333333</v>
      </c>
      <c r="U98" s="89">
        <f>$S98*'Y2_3 Cash Flow Assumptions'!E98</f>
        <v>5833.333333333333</v>
      </c>
      <c r="V98" s="89">
        <f>$S98*'Y2_3 Cash Flow Assumptions'!F98</f>
        <v>5833.333333333333</v>
      </c>
      <c r="W98" s="89">
        <f>$S98*'Y2_3 Cash Flow Assumptions'!G98</f>
        <v>5833.333333333333</v>
      </c>
      <c r="X98" s="89">
        <f>$S98*'Y2_3 Cash Flow Assumptions'!H98</f>
        <v>5833.333333333333</v>
      </c>
      <c r="Y98" s="89">
        <f>$S98*'Y2_3 Cash Flow Assumptions'!I98</f>
        <v>5833.333333333333</v>
      </c>
      <c r="Z98" s="89">
        <f>$S98*'Y2_3 Cash Flow Assumptions'!J98</f>
        <v>5833.333333333333</v>
      </c>
      <c r="AA98" s="89">
        <f>$S98*'Y2_3 Cash Flow Assumptions'!K98</f>
        <v>5833.333333333333</v>
      </c>
      <c r="AB98" s="89">
        <f>$S98*'Y2_3 Cash Flow Assumptions'!L98</f>
        <v>5833.333333333333</v>
      </c>
      <c r="AC98" s="89">
        <f>$S98*'Y2_3 Cash Flow Assumptions'!M98</f>
        <v>5833.333333333333</v>
      </c>
      <c r="AD98" s="89">
        <f>$S98*'Y2_3 Cash Flow Assumptions'!N98</f>
        <v>5833.333333333333</v>
      </c>
      <c r="AE98" s="89">
        <f>$S98*'Y2_3 Cash Flow Assumptions'!O98</f>
        <v>5833.333333333333</v>
      </c>
      <c r="AF98" s="89">
        <f>$S98*'Y2_3 Cash Flow Assumptions'!P98</f>
        <v>0</v>
      </c>
      <c r="AG98" s="103" t="str">
        <f t="shared" si="151"/>
        <v/>
      </c>
      <c r="AI98" s="89">
        <f>'Budget Summary'!E94</f>
        <v>70000</v>
      </c>
      <c r="AJ98" s="89">
        <f>$AI98*'Y2_3 Cash Flow Assumptions'!D98</f>
        <v>5833.333333333333</v>
      </c>
      <c r="AK98" s="89">
        <f>$AI98*'Y2_3 Cash Flow Assumptions'!E98</f>
        <v>5833.333333333333</v>
      </c>
      <c r="AL98" s="89">
        <f>$AI98*'Y2_3 Cash Flow Assumptions'!F98</f>
        <v>5833.333333333333</v>
      </c>
      <c r="AM98" s="89">
        <f>$AI98*'Y2_3 Cash Flow Assumptions'!G98</f>
        <v>5833.333333333333</v>
      </c>
      <c r="AN98" s="89">
        <f>$AI98*'Y2_3 Cash Flow Assumptions'!H98</f>
        <v>5833.333333333333</v>
      </c>
      <c r="AO98" s="89">
        <f>$AI98*'Y2_3 Cash Flow Assumptions'!I98</f>
        <v>5833.333333333333</v>
      </c>
      <c r="AP98" s="89">
        <f>$AI98*'Y2_3 Cash Flow Assumptions'!J98</f>
        <v>5833.333333333333</v>
      </c>
      <c r="AQ98" s="89">
        <f>$AI98*'Y2_3 Cash Flow Assumptions'!K98</f>
        <v>5833.333333333333</v>
      </c>
      <c r="AR98" s="89">
        <f>$AI98*'Y2_3 Cash Flow Assumptions'!L98</f>
        <v>5833.333333333333</v>
      </c>
      <c r="AS98" s="89">
        <f>$AI98*'Y2_3 Cash Flow Assumptions'!M98</f>
        <v>5833.333333333333</v>
      </c>
      <c r="AT98" s="89">
        <f>$AI98*'Y2_3 Cash Flow Assumptions'!N98</f>
        <v>5833.333333333333</v>
      </c>
      <c r="AU98" s="89">
        <f>$AI98*'Y2_3 Cash Flow Assumptions'!O98</f>
        <v>5833.333333333333</v>
      </c>
      <c r="AV98" s="89">
        <f>$AI98*'Y2_3 Cash Flow Assumptions'!P98</f>
        <v>0</v>
      </c>
      <c r="AW98" s="83" t="str">
        <f t="shared" si="152"/>
        <v/>
      </c>
    </row>
    <row r="99" spans="1:49">
      <c r="A99" s="23" t="s">
        <v>58</v>
      </c>
      <c r="C99" s="88">
        <f>SUM(C76:C98)</f>
        <v>768402.23924799997</v>
      </c>
      <c r="D99" s="88">
        <f t="shared" ref="D99:P99" si="156">SUM(D76:D98)</f>
        <v>32783.333333333336</v>
      </c>
      <c r="E99" s="88">
        <f t="shared" si="156"/>
        <v>27060.60606060606</v>
      </c>
      <c r="F99" s="88">
        <f t="shared" si="156"/>
        <v>29610.60606060606</v>
      </c>
      <c r="G99" s="88">
        <f t="shared" si="156"/>
        <v>133741.18826508606</v>
      </c>
      <c r="H99" s="88">
        <f t="shared" si="156"/>
        <v>61650.785200446066</v>
      </c>
      <c r="I99" s="88">
        <f t="shared" si="156"/>
        <v>61650.785200446066</v>
      </c>
      <c r="J99" s="88">
        <f t="shared" si="156"/>
        <v>61650.785200446066</v>
      </c>
      <c r="K99" s="88">
        <f t="shared" si="156"/>
        <v>61650.785200446066</v>
      </c>
      <c r="L99" s="88">
        <f t="shared" si="156"/>
        <v>85680.919555326065</v>
      </c>
      <c r="M99" s="88">
        <f t="shared" si="156"/>
        <v>57645.762807966064</v>
      </c>
      <c r="N99" s="88">
        <f t="shared" si="156"/>
        <v>57645.762807966064</v>
      </c>
      <c r="O99" s="88">
        <f t="shared" si="156"/>
        <v>55095.762807966064</v>
      </c>
      <c r="P99" s="88">
        <f t="shared" si="156"/>
        <v>42535.156747360001</v>
      </c>
      <c r="Q99" s="103" t="str">
        <f t="shared" si="150"/>
        <v/>
      </c>
      <c r="S99" s="88">
        <f>SUM(S76:S98)</f>
        <v>785650.582696</v>
      </c>
      <c r="T99" s="88">
        <f t="shared" ref="T99" si="157">SUM(T76:T98)</f>
        <v>32783.333333333336</v>
      </c>
      <c r="U99" s="88">
        <f t="shared" ref="U99" si="158">SUM(U76:U98)</f>
        <v>51090.740415486063</v>
      </c>
      <c r="V99" s="88">
        <f t="shared" ref="V99" si="159">SUM(V76:V98)</f>
        <v>77670.874770366048</v>
      </c>
      <c r="W99" s="88">
        <f t="shared" ref="W99" si="160">SUM(W76:W98)</f>
        <v>61650.785200446066</v>
      </c>
      <c r="X99" s="88">
        <f t="shared" ref="X99" si="161">SUM(X76:X98)</f>
        <v>61650.785200446066</v>
      </c>
      <c r="Y99" s="88">
        <f t="shared" ref="Y99" si="162">SUM(Y76:Y98)</f>
        <v>61650.785200446066</v>
      </c>
      <c r="Z99" s="88">
        <f t="shared" ref="Z99" si="163">SUM(Z76:Z98)</f>
        <v>61650.785200446066</v>
      </c>
      <c r="AA99" s="88">
        <f t="shared" ref="AA99" si="164">SUM(AA76:AA98)</f>
        <v>61650.785200446066</v>
      </c>
      <c r="AB99" s="88">
        <f t="shared" ref="AB99" si="165">SUM(AB76:AB98)</f>
        <v>91430.367371326065</v>
      </c>
      <c r="AC99" s="88">
        <f t="shared" ref="AC99" si="166">SUM(AC76:AC98)</f>
        <v>60520.486715966064</v>
      </c>
      <c r="AD99" s="88">
        <f t="shared" ref="AD99" si="167">SUM(AD76:AD98)</f>
        <v>60520.486715966064</v>
      </c>
      <c r="AE99" s="88">
        <f t="shared" ref="AE99" si="168">SUM(AE76:AE98)</f>
        <v>57970.486715966064</v>
      </c>
      <c r="AF99" s="88">
        <f t="shared" ref="AF99" si="169">SUM(AF76:AF98)</f>
        <v>45409.880655360001</v>
      </c>
      <c r="AG99" s="103" t="str">
        <f t="shared" si="151"/>
        <v/>
      </c>
      <c r="AI99" s="88">
        <f>SUM(AI76:AI98)</f>
        <v>815352.82</v>
      </c>
      <c r="AJ99" s="88">
        <f t="shared" ref="AJ99:AV99" si="170">SUM(AJ76:AJ98)</f>
        <v>32783.333333333336</v>
      </c>
      <c r="AK99" s="88">
        <f t="shared" si="170"/>
        <v>52125.641022366064</v>
      </c>
      <c r="AL99" s="88">
        <f t="shared" si="170"/>
        <v>79740.67598412605</v>
      </c>
      <c r="AM99" s="88">
        <f t="shared" si="170"/>
        <v>63030.652676286067</v>
      </c>
      <c r="AN99" s="88">
        <f t="shared" si="170"/>
        <v>63030.652676286067</v>
      </c>
      <c r="AO99" s="88">
        <f t="shared" si="170"/>
        <v>63030.652676286067</v>
      </c>
      <c r="AP99" s="88">
        <f t="shared" si="170"/>
        <v>63030.652676286067</v>
      </c>
      <c r="AQ99" s="88">
        <f t="shared" si="170"/>
        <v>63030.652676286067</v>
      </c>
      <c r="AR99" s="88">
        <f t="shared" si="170"/>
        <v>97996.433406046053</v>
      </c>
      <c r="AS99" s="88">
        <f t="shared" si="170"/>
        <v>63803.519733326058</v>
      </c>
      <c r="AT99" s="88">
        <f t="shared" si="170"/>
        <v>63803.519733326058</v>
      </c>
      <c r="AU99" s="88">
        <f t="shared" si="170"/>
        <v>61253.519733326058</v>
      </c>
      <c r="AV99" s="88">
        <f t="shared" si="170"/>
        <v>48692.913672719995</v>
      </c>
      <c r="AW99" s="83" t="str">
        <f t="shared" si="152"/>
        <v/>
      </c>
    </row>
    <row r="100" spans="1:49">
      <c r="A100" s="23" t="s">
        <v>1</v>
      </c>
      <c r="C100" s="88">
        <f>SUM(C47,C55,C66,C74,C99)</f>
        <v>2955165.8232479999</v>
      </c>
      <c r="D100" s="88">
        <f t="shared" ref="D100:P100" si="171">SUM(D47,D55,D66,D74,D99)</f>
        <v>97162.523733333335</v>
      </c>
      <c r="E100" s="88">
        <f t="shared" si="171"/>
        <v>174059.20300606059</v>
      </c>
      <c r="F100" s="88">
        <f t="shared" si="171"/>
        <v>267209.18380606058</v>
      </c>
      <c r="G100" s="88">
        <f t="shared" si="171"/>
        <v>336895.32156609616</v>
      </c>
      <c r="H100" s="88">
        <f t="shared" si="171"/>
        <v>264804.91850145615</v>
      </c>
      <c r="I100" s="88">
        <f t="shared" si="171"/>
        <v>264804.91850145615</v>
      </c>
      <c r="J100" s="88">
        <f t="shared" si="171"/>
        <v>264804.91850145615</v>
      </c>
      <c r="K100" s="88">
        <f t="shared" si="171"/>
        <v>264804.91850145615</v>
      </c>
      <c r="L100" s="88">
        <f t="shared" si="171"/>
        <v>288835.05285633617</v>
      </c>
      <c r="M100" s="88">
        <f t="shared" si="171"/>
        <v>260799.89610897616</v>
      </c>
      <c r="N100" s="88">
        <f t="shared" si="171"/>
        <v>260799.89610897616</v>
      </c>
      <c r="O100" s="88">
        <f t="shared" si="171"/>
        <v>167649.91530897617</v>
      </c>
      <c r="P100" s="88">
        <f t="shared" si="171"/>
        <v>42535.156747360001</v>
      </c>
      <c r="Q100" s="103" t="str">
        <f t="shared" si="150"/>
        <v/>
      </c>
      <c r="S100" s="88">
        <f>SUM(S47,S55,S66,S74,S99)</f>
        <v>3220067.8758959998</v>
      </c>
      <c r="T100" s="88">
        <f t="shared" ref="T100" si="172">SUM(T47,T55,T66,T74,T99)</f>
        <v>102037.61021333333</v>
      </c>
      <c r="U100" s="88">
        <f t="shared" ref="U100" si="173">SUM(U47,U55,U66,U74,U99)</f>
        <v>211828.16311548607</v>
      </c>
      <c r="V100" s="88">
        <f t="shared" ref="V100" si="174">SUM(V47,V55,V66,V74,V99)</f>
        <v>339191.78265036602</v>
      </c>
      <c r="W100" s="88">
        <f t="shared" ref="W100" si="175">SUM(W47,W55,W66,W74,W99)</f>
        <v>288727.2486360016</v>
      </c>
      <c r="X100" s="88">
        <f t="shared" ref="X100" si="176">SUM(X47,X55,X66,X74,X99)</f>
        <v>288727.2486360016</v>
      </c>
      <c r="Y100" s="88">
        <f t="shared" ref="Y100" si="177">SUM(Y47,Y55,Y66,Y74,Y99)</f>
        <v>288727.2486360016</v>
      </c>
      <c r="Z100" s="88">
        <f t="shared" ref="Z100" si="178">SUM(Z47,Z55,Z66,Z74,Z99)</f>
        <v>288727.2486360016</v>
      </c>
      <c r="AA100" s="88">
        <f t="shared" ref="AA100" si="179">SUM(AA47,AA55,AA66,AA74,AA99)</f>
        <v>288727.2486360016</v>
      </c>
      <c r="AB100" s="88">
        <f t="shared" ref="AB100" si="180">SUM(AB47,AB55,AB66,AB74,AB99)</f>
        <v>318506.8308068816</v>
      </c>
      <c r="AC100" s="88">
        <f t="shared" ref="AC100" si="181">SUM(AC47,AC55,AC66,AC74,AC99)</f>
        <v>287596.9501515216</v>
      </c>
      <c r="AD100" s="88">
        <f t="shared" ref="AD100" si="182">SUM(AD47,AD55,AD66,AD74,AD99)</f>
        <v>287596.9501515216</v>
      </c>
      <c r="AE100" s="88">
        <f t="shared" ref="AE100" si="183">SUM(AE47,AE55,AE66,AE74,AE99)</f>
        <v>184263.46497152164</v>
      </c>
      <c r="AF100" s="88">
        <f t="shared" ref="AF100" si="184">SUM(AF47,AF55,AF66,AF74,AF99)</f>
        <v>45409.880655360001</v>
      </c>
      <c r="AG100" s="103" t="str">
        <f t="shared" si="151"/>
        <v/>
      </c>
      <c r="AI100" s="88">
        <f>SUM(AI47,AI55,AI66,AI74,AI99)</f>
        <v>3467705.6139999996</v>
      </c>
      <c r="AJ100" s="88">
        <f t="shared" ref="AJ100:AV100" si="185">SUM(AJ47,AJ55,AJ66,AJ74,AJ99)</f>
        <v>106729.29009733335</v>
      </c>
      <c r="AK100" s="88">
        <f t="shared" si="185"/>
        <v>225065.09693891151</v>
      </c>
      <c r="AL100" s="88">
        <f t="shared" si="185"/>
        <v>362243.77880667144</v>
      </c>
      <c r="AM100" s="88">
        <f t="shared" si="185"/>
        <v>311089.31105438701</v>
      </c>
      <c r="AN100" s="88">
        <f t="shared" si="185"/>
        <v>311089.31105438701</v>
      </c>
      <c r="AO100" s="88">
        <f t="shared" si="185"/>
        <v>311089.31105438701</v>
      </c>
      <c r="AP100" s="88">
        <f t="shared" si="185"/>
        <v>311089.31105438701</v>
      </c>
      <c r="AQ100" s="88">
        <f t="shared" si="185"/>
        <v>311089.31105438701</v>
      </c>
      <c r="AR100" s="88">
        <f t="shared" si="185"/>
        <v>346055.09178414702</v>
      </c>
      <c r="AS100" s="88">
        <f t="shared" si="185"/>
        <v>311862.178111427</v>
      </c>
      <c r="AT100" s="88">
        <f t="shared" si="185"/>
        <v>311862.178111427</v>
      </c>
      <c r="AU100" s="88">
        <f t="shared" si="185"/>
        <v>199748.53120542708</v>
      </c>
      <c r="AV100" s="88">
        <f t="shared" si="185"/>
        <v>48692.913672719995</v>
      </c>
      <c r="AW100" s="83" t="str">
        <f t="shared" si="152"/>
        <v/>
      </c>
    </row>
    <row r="101" spans="1:49" s="30" customFormat="1">
      <c r="A101" s="85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105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105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101"/>
    </row>
    <row r="102" spans="1:49">
      <c r="A102" s="23" t="s">
        <v>367</v>
      </c>
      <c r="C102" s="92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S102" s="92"/>
      <c r="T102" s="89">
        <f>SUM(P10:P12,P15,(P16/2),P20,P24,(P25/2),P29,(P32/2),P33,P34,P35)</f>
        <v>271696.36841066659</v>
      </c>
      <c r="U102" s="89">
        <f>SUM((P16/2),(P25/2),(P32/2))</f>
        <v>0</v>
      </c>
      <c r="V102" s="89">
        <f>SUM(P17:P19,P21,P28)</f>
        <v>105211.6</v>
      </c>
      <c r="W102" s="89"/>
      <c r="X102" s="89"/>
      <c r="Y102" s="89"/>
      <c r="Z102" s="90">
        <f>P27/2</f>
        <v>34020</v>
      </c>
      <c r="AA102" s="89"/>
      <c r="AB102" s="89"/>
      <c r="AC102" s="90">
        <f>P27/2</f>
        <v>34020</v>
      </c>
      <c r="AD102" s="89"/>
      <c r="AE102" s="89"/>
      <c r="AF102" s="89"/>
      <c r="AG102" s="103" t="str">
        <f>IF(SUM(T102:AE102)=P37,"","!")</f>
        <v/>
      </c>
      <c r="AI102" s="92"/>
      <c r="AJ102" s="89">
        <f>SUM(AF10:AF12,AF15,(AF16/2),AF20,AF24,(AF25/2),(AF27/2),AF29,(AF32/2),AF33,AF34,AF35)</f>
        <v>335326.05223066662</v>
      </c>
      <c r="AK102" s="89">
        <f>SUM((AF16/2),(AF25/2),(AF32/2))</f>
        <v>0</v>
      </c>
      <c r="AL102" s="89">
        <f>SUM(AF17:AF19,AF21,AF28)</f>
        <v>22357.465</v>
      </c>
      <c r="AM102" s="90">
        <f>AF27/2</f>
        <v>18073.125</v>
      </c>
      <c r="AN102" s="89"/>
      <c r="AO102" s="89"/>
      <c r="AP102" s="90"/>
      <c r="AQ102" s="89"/>
      <c r="AR102" s="89"/>
      <c r="AS102" s="90"/>
      <c r="AT102" s="89"/>
      <c r="AU102" s="89"/>
      <c r="AV102" s="89"/>
      <c r="AW102" s="83" t="str">
        <f>IF(SUM(AJ102:AU102)=AF37,"","!")</f>
        <v/>
      </c>
    </row>
    <row r="103" spans="1:49">
      <c r="A103" s="23" t="s">
        <v>368</v>
      </c>
      <c r="C103" s="92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S103" s="92"/>
      <c r="T103" s="89">
        <f>P100</f>
        <v>42535.156747360001</v>
      </c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103" t="str">
        <f>IF(SUM(T103:AF103)=P100,"","!")</f>
        <v/>
      </c>
      <c r="AI103" s="92"/>
      <c r="AJ103" s="89">
        <f>AF100</f>
        <v>45409.880655360001</v>
      </c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3" t="str">
        <f>IF(SUM(AJ103:AV103)=AF100,"","!")</f>
        <v/>
      </c>
    </row>
    <row r="104" spans="1:49">
      <c r="A104" s="23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</row>
    <row r="105" spans="1:49">
      <c r="A105" s="23" t="s">
        <v>320</v>
      </c>
      <c r="C105" s="82"/>
      <c r="D105" s="88">
        <f>D6+D37-D100+D102-D103</f>
        <v>302837.47626666666</v>
      </c>
      <c r="E105" s="88">
        <f t="shared" ref="E105:O105" si="186">E6+E37-E100+E102-E103</f>
        <v>128778.27326060607</v>
      </c>
      <c r="F105" s="88">
        <f t="shared" si="186"/>
        <v>-138430.91054545451</v>
      </c>
      <c r="G105" s="88">
        <f t="shared" si="186"/>
        <v>550152.7972804493</v>
      </c>
      <c r="H105" s="88">
        <f t="shared" si="186"/>
        <v>338239.94277899317</v>
      </c>
      <c r="I105" s="88">
        <f t="shared" si="186"/>
        <v>126327.08827753703</v>
      </c>
      <c r="J105" s="88">
        <f t="shared" si="186"/>
        <v>338912.52526408108</v>
      </c>
      <c r="K105" s="88">
        <f t="shared" si="186"/>
        <v>131166.33742929157</v>
      </c>
      <c r="L105" s="88">
        <f t="shared" si="186"/>
        <v>142308.20898362203</v>
      </c>
      <c r="M105" s="88">
        <f t="shared" si="186"/>
        <v>153204.68128531252</v>
      </c>
      <c r="N105" s="88">
        <f t="shared" si="186"/>
        <v>146101.15358700295</v>
      </c>
      <c r="O105" s="88">
        <f t="shared" si="186"/>
        <v>232147.60668869343</v>
      </c>
      <c r="P105" s="82"/>
      <c r="S105" s="82"/>
      <c r="T105" s="88">
        <f>T6+T37-T100+T102-T103</f>
        <v>359271.2081386667</v>
      </c>
      <c r="U105" s="88">
        <f t="shared" ref="U105:AE105" si="187">U6+U37-U100+U102-U103</f>
        <v>300028.28510318068</v>
      </c>
      <c r="V105" s="88">
        <f t="shared" si="187"/>
        <v>258302.39053281469</v>
      </c>
      <c r="W105" s="88">
        <f t="shared" si="187"/>
        <v>243716.35164081305</v>
      </c>
      <c r="X105" s="88">
        <f t="shared" si="187"/>
        <v>233487.77774881147</v>
      </c>
      <c r="Y105" s="88">
        <f t="shared" si="187"/>
        <v>206301.73885680985</v>
      </c>
      <c r="Z105" s="88">
        <f t="shared" si="187"/>
        <v>266166.28996480827</v>
      </c>
      <c r="AA105" s="88">
        <f t="shared" si="187"/>
        <v>237746.91773947328</v>
      </c>
      <c r="AB105" s="88">
        <f t="shared" si="187"/>
        <v>292893.02266325842</v>
      </c>
      <c r="AC105" s="88">
        <f t="shared" si="187"/>
        <v>376892.12474240351</v>
      </c>
      <c r="AD105" s="88">
        <f t="shared" si="187"/>
        <v>387423.10182154865</v>
      </c>
      <c r="AE105" s="88">
        <f t="shared" si="187"/>
        <v>523645.02908069373</v>
      </c>
      <c r="AF105" s="82"/>
      <c r="AI105" s="82"/>
      <c r="AJ105" s="88">
        <f>AJ6+AJ37-AJ100+AJ102-AJ103</f>
        <v>706831.91055866703</v>
      </c>
      <c r="AK105" s="88">
        <f t="shared" ref="AK105:AU105" si="188">AK6+AK37-AK100+AK102-AK103</f>
        <v>646217.51202975551</v>
      </c>
      <c r="AL105" s="88">
        <f t="shared" si="188"/>
        <v>512930.26013308414</v>
      </c>
      <c r="AM105" s="88">
        <f t="shared" si="188"/>
        <v>515381.09491669713</v>
      </c>
      <c r="AN105" s="88">
        <f t="shared" si="188"/>
        <v>504306.4147003101</v>
      </c>
      <c r="AO105" s="88">
        <f t="shared" si="188"/>
        <v>474994.44948392303</v>
      </c>
      <c r="AP105" s="88">
        <f t="shared" si="188"/>
        <v>502181.019267536</v>
      </c>
      <c r="AQ105" s="88">
        <f t="shared" si="188"/>
        <v>471600.39571781561</v>
      </c>
      <c r="AR105" s="88">
        <f t="shared" si="188"/>
        <v>534499.47029833542</v>
      </c>
      <c r="AS105" s="88">
        <f t="shared" si="188"/>
        <v>593495.02030157519</v>
      </c>
      <c r="AT105" s="88">
        <f t="shared" si="188"/>
        <v>610854.32030481496</v>
      </c>
      <c r="AU105" s="88">
        <f t="shared" si="188"/>
        <v>763999.87721405458</v>
      </c>
      <c r="AV105" s="82"/>
    </row>
    <row r="106" spans="1:49">
      <c r="A106" s="23"/>
      <c r="B106" s="24" t="s">
        <v>355</v>
      </c>
      <c r="C106" s="82"/>
      <c r="D106" s="93">
        <f t="shared" ref="D106:O106" si="189">+D116+D127+D138</f>
        <v>0</v>
      </c>
      <c r="E106" s="93">
        <f t="shared" si="189"/>
        <v>0</v>
      </c>
      <c r="F106" s="93">
        <f t="shared" si="189"/>
        <v>0</v>
      </c>
      <c r="G106" s="93">
        <f t="shared" si="189"/>
        <v>0</v>
      </c>
      <c r="H106" s="93">
        <f t="shared" si="189"/>
        <v>0</v>
      </c>
      <c r="I106" s="93">
        <f t="shared" si="189"/>
        <v>0</v>
      </c>
      <c r="J106" s="93">
        <f t="shared" si="189"/>
        <v>0</v>
      </c>
      <c r="K106" s="93">
        <f t="shared" si="189"/>
        <v>0</v>
      </c>
      <c r="L106" s="93">
        <f t="shared" si="189"/>
        <v>0</v>
      </c>
      <c r="M106" s="93">
        <f t="shared" si="189"/>
        <v>0</v>
      </c>
      <c r="N106" s="93">
        <f t="shared" si="189"/>
        <v>0</v>
      </c>
      <c r="O106" s="93">
        <f t="shared" si="189"/>
        <v>0</v>
      </c>
      <c r="P106" s="82"/>
      <c r="S106" s="82"/>
      <c r="T106" s="93">
        <f t="shared" ref="T106:AE106" si="190">+T116+T127+T138</f>
        <v>0</v>
      </c>
      <c r="U106" s="93">
        <f t="shared" si="190"/>
        <v>0</v>
      </c>
      <c r="V106" s="93">
        <f t="shared" si="190"/>
        <v>0</v>
      </c>
      <c r="W106" s="93">
        <f t="shared" si="190"/>
        <v>0</v>
      </c>
      <c r="X106" s="93">
        <f t="shared" si="190"/>
        <v>0</v>
      </c>
      <c r="Y106" s="93">
        <f t="shared" si="190"/>
        <v>0</v>
      </c>
      <c r="Z106" s="93">
        <f t="shared" si="190"/>
        <v>0</v>
      </c>
      <c r="AA106" s="93">
        <f t="shared" si="190"/>
        <v>0</v>
      </c>
      <c r="AB106" s="93">
        <f t="shared" si="190"/>
        <v>0</v>
      </c>
      <c r="AC106" s="93">
        <f t="shared" si="190"/>
        <v>0</v>
      </c>
      <c r="AD106" s="93">
        <f t="shared" si="190"/>
        <v>0</v>
      </c>
      <c r="AE106" s="93">
        <f t="shared" si="190"/>
        <v>0</v>
      </c>
      <c r="AF106" s="82"/>
      <c r="AI106" s="82"/>
      <c r="AJ106" s="93">
        <f t="shared" ref="AJ106:AU106" si="191">+AJ116+AJ127+AJ138</f>
        <v>0</v>
      </c>
      <c r="AK106" s="93">
        <f t="shared" si="191"/>
        <v>0</v>
      </c>
      <c r="AL106" s="93">
        <f t="shared" si="191"/>
        <v>0</v>
      </c>
      <c r="AM106" s="93">
        <f t="shared" si="191"/>
        <v>0</v>
      </c>
      <c r="AN106" s="93">
        <f t="shared" si="191"/>
        <v>0</v>
      </c>
      <c r="AO106" s="93">
        <f t="shared" si="191"/>
        <v>0</v>
      </c>
      <c r="AP106" s="93">
        <f t="shared" si="191"/>
        <v>0</v>
      </c>
      <c r="AQ106" s="93">
        <f t="shared" si="191"/>
        <v>0</v>
      </c>
      <c r="AR106" s="93">
        <f t="shared" si="191"/>
        <v>0</v>
      </c>
      <c r="AS106" s="93">
        <f t="shared" si="191"/>
        <v>0</v>
      </c>
      <c r="AT106" s="93">
        <f t="shared" si="191"/>
        <v>0</v>
      </c>
      <c r="AU106" s="93">
        <f t="shared" si="191"/>
        <v>0</v>
      </c>
      <c r="AV106" s="82"/>
    </row>
    <row r="107" spans="1:49">
      <c r="B107" s="24" t="s">
        <v>356</v>
      </c>
      <c r="C107" s="81"/>
      <c r="D107" s="93">
        <f t="shared" ref="D107:O107" si="192">+D117+D128+D139</f>
        <v>0</v>
      </c>
      <c r="E107" s="93">
        <f t="shared" si="192"/>
        <v>0</v>
      </c>
      <c r="F107" s="93">
        <f t="shared" si="192"/>
        <v>0</v>
      </c>
      <c r="G107" s="93">
        <f t="shared" si="192"/>
        <v>0</v>
      </c>
      <c r="H107" s="93">
        <f t="shared" si="192"/>
        <v>0</v>
      </c>
      <c r="I107" s="93">
        <f t="shared" si="192"/>
        <v>0</v>
      </c>
      <c r="J107" s="93">
        <f t="shared" si="192"/>
        <v>0</v>
      </c>
      <c r="K107" s="93">
        <f t="shared" si="192"/>
        <v>0</v>
      </c>
      <c r="L107" s="93">
        <f t="shared" si="192"/>
        <v>0</v>
      </c>
      <c r="M107" s="93">
        <f t="shared" si="192"/>
        <v>0</v>
      </c>
      <c r="N107" s="93">
        <f t="shared" si="192"/>
        <v>0</v>
      </c>
      <c r="O107" s="93">
        <f t="shared" si="192"/>
        <v>0</v>
      </c>
      <c r="P107" s="81"/>
      <c r="S107" s="81"/>
      <c r="T107" s="93">
        <f t="shared" ref="T107:AE107" si="193">+T117+T128+T139</f>
        <v>0</v>
      </c>
      <c r="U107" s="93">
        <f t="shared" si="193"/>
        <v>0</v>
      </c>
      <c r="V107" s="93">
        <f t="shared" si="193"/>
        <v>0</v>
      </c>
      <c r="W107" s="93">
        <f t="shared" si="193"/>
        <v>0</v>
      </c>
      <c r="X107" s="93">
        <f t="shared" si="193"/>
        <v>0</v>
      </c>
      <c r="Y107" s="93">
        <f t="shared" si="193"/>
        <v>0</v>
      </c>
      <c r="Z107" s="93">
        <f t="shared" si="193"/>
        <v>0</v>
      </c>
      <c r="AA107" s="93">
        <f t="shared" si="193"/>
        <v>0</v>
      </c>
      <c r="AB107" s="93">
        <f t="shared" si="193"/>
        <v>0</v>
      </c>
      <c r="AC107" s="93">
        <f t="shared" si="193"/>
        <v>0</v>
      </c>
      <c r="AD107" s="93">
        <f t="shared" si="193"/>
        <v>0</v>
      </c>
      <c r="AE107" s="93">
        <f t="shared" si="193"/>
        <v>0</v>
      </c>
      <c r="AF107" s="81"/>
      <c r="AI107" s="81"/>
      <c r="AJ107" s="93">
        <f t="shared" ref="AJ107:AU107" si="194">+AJ117+AJ128+AJ139</f>
        <v>0</v>
      </c>
      <c r="AK107" s="93">
        <f t="shared" si="194"/>
        <v>0</v>
      </c>
      <c r="AL107" s="93">
        <f t="shared" si="194"/>
        <v>0</v>
      </c>
      <c r="AM107" s="93">
        <f t="shared" si="194"/>
        <v>0</v>
      </c>
      <c r="AN107" s="93">
        <f t="shared" si="194"/>
        <v>0</v>
      </c>
      <c r="AO107" s="93">
        <f t="shared" si="194"/>
        <v>0</v>
      </c>
      <c r="AP107" s="93">
        <f t="shared" si="194"/>
        <v>0</v>
      </c>
      <c r="AQ107" s="93">
        <f t="shared" si="194"/>
        <v>0</v>
      </c>
      <c r="AR107" s="93">
        <f t="shared" si="194"/>
        <v>0</v>
      </c>
      <c r="AS107" s="93">
        <f t="shared" si="194"/>
        <v>0</v>
      </c>
      <c r="AT107" s="93">
        <f t="shared" si="194"/>
        <v>0</v>
      </c>
      <c r="AU107" s="93">
        <f t="shared" si="194"/>
        <v>0</v>
      </c>
      <c r="AV107" s="81"/>
    </row>
    <row r="108" spans="1:49">
      <c r="A108" s="23" t="s">
        <v>321</v>
      </c>
      <c r="C108" s="82"/>
      <c r="D108" s="88">
        <f>+D105+D106-D107</f>
        <v>302837.47626666666</v>
      </c>
      <c r="E108" s="88">
        <f t="shared" ref="E108:O108" si="195">+E105+E106-E107</f>
        <v>128778.27326060607</v>
      </c>
      <c r="F108" s="88">
        <f t="shared" si="195"/>
        <v>-138430.91054545451</v>
      </c>
      <c r="G108" s="88">
        <f t="shared" si="195"/>
        <v>550152.7972804493</v>
      </c>
      <c r="H108" s="88">
        <f t="shared" si="195"/>
        <v>338239.94277899317</v>
      </c>
      <c r="I108" s="88">
        <f t="shared" si="195"/>
        <v>126327.08827753703</v>
      </c>
      <c r="J108" s="88">
        <f t="shared" si="195"/>
        <v>338912.52526408108</v>
      </c>
      <c r="K108" s="88">
        <f t="shared" si="195"/>
        <v>131166.33742929157</v>
      </c>
      <c r="L108" s="88">
        <f t="shared" si="195"/>
        <v>142308.20898362203</v>
      </c>
      <c r="M108" s="88">
        <f t="shared" si="195"/>
        <v>153204.68128531252</v>
      </c>
      <c r="N108" s="88">
        <f t="shared" si="195"/>
        <v>146101.15358700295</v>
      </c>
      <c r="O108" s="88">
        <f t="shared" si="195"/>
        <v>232147.60668869343</v>
      </c>
      <c r="S108" s="82"/>
      <c r="T108" s="88">
        <f>+T105+T106-T107</f>
        <v>359271.2081386667</v>
      </c>
      <c r="U108" s="88">
        <f t="shared" ref="U108" si="196">+U105+U106-U107</f>
        <v>300028.28510318068</v>
      </c>
      <c r="V108" s="88">
        <f t="shared" ref="V108" si="197">+V105+V106-V107</f>
        <v>258302.39053281469</v>
      </c>
      <c r="W108" s="88">
        <f t="shared" ref="W108" si="198">+W105+W106-W107</f>
        <v>243716.35164081305</v>
      </c>
      <c r="X108" s="88">
        <f t="shared" ref="X108" si="199">+X105+X106-X107</f>
        <v>233487.77774881147</v>
      </c>
      <c r="Y108" s="88">
        <f t="shared" ref="Y108" si="200">+Y105+Y106-Y107</f>
        <v>206301.73885680985</v>
      </c>
      <c r="Z108" s="88">
        <f t="shared" ref="Z108" si="201">+Z105+Z106-Z107</f>
        <v>266166.28996480827</v>
      </c>
      <c r="AA108" s="88">
        <f t="shared" ref="AA108" si="202">+AA105+AA106-AA107</f>
        <v>237746.91773947328</v>
      </c>
      <c r="AB108" s="88">
        <f t="shared" ref="AB108" si="203">+AB105+AB106-AB107</f>
        <v>292893.02266325842</v>
      </c>
      <c r="AC108" s="88">
        <f t="shared" ref="AC108" si="204">+AC105+AC106-AC107</f>
        <v>376892.12474240351</v>
      </c>
      <c r="AD108" s="88">
        <f t="shared" ref="AD108" si="205">+AD105+AD106-AD107</f>
        <v>387423.10182154865</v>
      </c>
      <c r="AE108" s="88">
        <f t="shared" ref="AE108" si="206">+AE105+AE106-AE107</f>
        <v>523645.02908069373</v>
      </c>
      <c r="AI108" s="82"/>
      <c r="AJ108" s="88">
        <f>+AJ105+AJ106-AJ107</f>
        <v>706831.91055866703</v>
      </c>
      <c r="AK108" s="88">
        <f t="shared" ref="AK108:AU108" si="207">+AK105+AK106-AK107</f>
        <v>646217.51202975551</v>
      </c>
      <c r="AL108" s="88">
        <f t="shared" si="207"/>
        <v>512930.26013308414</v>
      </c>
      <c r="AM108" s="88">
        <f t="shared" si="207"/>
        <v>515381.09491669713</v>
      </c>
      <c r="AN108" s="88">
        <f t="shared" si="207"/>
        <v>504306.4147003101</v>
      </c>
      <c r="AO108" s="88">
        <f t="shared" si="207"/>
        <v>474994.44948392303</v>
      </c>
      <c r="AP108" s="88">
        <f t="shared" si="207"/>
        <v>502181.019267536</v>
      </c>
      <c r="AQ108" s="88">
        <f t="shared" si="207"/>
        <v>471600.39571781561</v>
      </c>
      <c r="AR108" s="88">
        <f t="shared" si="207"/>
        <v>534499.47029833542</v>
      </c>
      <c r="AS108" s="88">
        <f t="shared" si="207"/>
        <v>593495.02030157519</v>
      </c>
      <c r="AT108" s="88">
        <f t="shared" si="207"/>
        <v>610854.32030481496</v>
      </c>
      <c r="AU108" s="88">
        <f t="shared" si="207"/>
        <v>763999.87721405458</v>
      </c>
    </row>
    <row r="109" spans="1:49">
      <c r="C109" s="81"/>
      <c r="D109" s="100" t="s">
        <v>369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S109" s="81"/>
      <c r="T109" s="100" t="s">
        <v>369</v>
      </c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I109" s="81"/>
      <c r="AJ109" s="100" t="s">
        <v>369</v>
      </c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</row>
    <row r="110" spans="1:49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</row>
    <row r="111" spans="1:49">
      <c r="C111" s="95" t="s">
        <v>359</v>
      </c>
      <c r="D111" s="94"/>
      <c r="E111" s="94"/>
      <c r="F111" s="94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S111" s="95" t="s">
        <v>359</v>
      </c>
      <c r="T111" s="94"/>
      <c r="U111" s="94"/>
      <c r="V111" s="94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I111" s="95" t="s">
        <v>359</v>
      </c>
      <c r="AJ111" s="94"/>
      <c r="AK111" s="94"/>
      <c r="AL111" s="94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</row>
    <row r="112" spans="1:49">
      <c r="C112" s="96" t="s">
        <v>357</v>
      </c>
      <c r="D112" s="81"/>
      <c r="E112" s="81"/>
      <c r="F112" s="98">
        <v>6.1000000000000004E-3</v>
      </c>
      <c r="G112" s="115" t="s">
        <v>386</v>
      </c>
      <c r="H112" s="81"/>
      <c r="I112" s="81"/>
      <c r="J112" s="81"/>
      <c r="K112" s="81"/>
      <c r="L112" s="81"/>
      <c r="M112" s="81"/>
      <c r="N112" s="81"/>
      <c r="O112" s="81"/>
      <c r="P112" s="81"/>
      <c r="S112" s="96" t="s">
        <v>357</v>
      </c>
      <c r="T112" s="81"/>
      <c r="U112" s="81"/>
      <c r="V112" s="54">
        <f>F112</f>
        <v>6.1000000000000004E-3</v>
      </c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I112" s="96" t="s">
        <v>357</v>
      </c>
      <c r="AJ112" s="81"/>
      <c r="AK112" s="81"/>
      <c r="AL112" s="54">
        <f>V112</f>
        <v>6.1000000000000004E-3</v>
      </c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</row>
    <row r="113" spans="2:47">
      <c r="C113" s="96" t="s">
        <v>358</v>
      </c>
      <c r="S113" s="96" t="s">
        <v>370</v>
      </c>
      <c r="AI113" s="96" t="s">
        <v>376</v>
      </c>
    </row>
    <row r="114" spans="2:47">
      <c r="D114" s="97" t="s">
        <v>318</v>
      </c>
      <c r="E114" s="97" t="s">
        <v>307</v>
      </c>
      <c r="F114" s="97" t="s">
        <v>308</v>
      </c>
      <c r="G114" s="97" t="s">
        <v>309</v>
      </c>
      <c r="H114" s="97" t="s">
        <v>310</v>
      </c>
      <c r="I114" s="97" t="s">
        <v>311</v>
      </c>
      <c r="J114" s="97" t="s">
        <v>312</v>
      </c>
      <c r="K114" s="97" t="s">
        <v>313</v>
      </c>
      <c r="L114" s="97" t="s">
        <v>314</v>
      </c>
      <c r="M114" s="97" t="s">
        <v>315</v>
      </c>
      <c r="N114" s="97" t="s">
        <v>316</v>
      </c>
      <c r="O114" s="97" t="s">
        <v>317</v>
      </c>
      <c r="T114" s="97" t="s">
        <v>318</v>
      </c>
      <c r="U114" s="97" t="s">
        <v>307</v>
      </c>
      <c r="V114" s="97" t="s">
        <v>308</v>
      </c>
      <c r="W114" s="97" t="s">
        <v>309</v>
      </c>
      <c r="X114" s="97" t="s">
        <v>310</v>
      </c>
      <c r="Y114" s="97" t="s">
        <v>311</v>
      </c>
      <c r="Z114" s="97" t="s">
        <v>312</v>
      </c>
      <c r="AA114" s="97" t="s">
        <v>313</v>
      </c>
      <c r="AB114" s="97" t="s">
        <v>314</v>
      </c>
      <c r="AC114" s="97" t="s">
        <v>315</v>
      </c>
      <c r="AD114" s="97" t="s">
        <v>316</v>
      </c>
      <c r="AE114" s="97" t="s">
        <v>317</v>
      </c>
      <c r="AJ114" s="97" t="s">
        <v>318</v>
      </c>
      <c r="AK114" s="97" t="s">
        <v>307</v>
      </c>
      <c r="AL114" s="97" t="s">
        <v>308</v>
      </c>
      <c r="AM114" s="97" t="s">
        <v>309</v>
      </c>
      <c r="AN114" s="97" t="s">
        <v>310</v>
      </c>
      <c r="AO114" s="97" t="s">
        <v>311</v>
      </c>
      <c r="AP114" s="97" t="s">
        <v>312</v>
      </c>
      <c r="AQ114" s="97" t="s">
        <v>313</v>
      </c>
      <c r="AR114" s="97" t="s">
        <v>314</v>
      </c>
      <c r="AS114" s="97" t="s">
        <v>315</v>
      </c>
      <c r="AT114" s="97" t="s">
        <v>316</v>
      </c>
      <c r="AU114" s="97" t="s">
        <v>317</v>
      </c>
    </row>
    <row r="115" spans="2:47" ht="14.5" customHeight="1">
      <c r="B115" s="129" t="s">
        <v>366</v>
      </c>
      <c r="C115" s="130"/>
      <c r="D115" s="99">
        <v>0</v>
      </c>
      <c r="E115" s="29">
        <f>D118</f>
        <v>0</v>
      </c>
      <c r="F115" s="29">
        <f t="shared" ref="F115:O115" si="208">E118</f>
        <v>0</v>
      </c>
      <c r="G115" s="29">
        <f t="shared" si="208"/>
        <v>0</v>
      </c>
      <c r="H115" s="29">
        <f t="shared" si="208"/>
        <v>0</v>
      </c>
      <c r="I115" s="29">
        <f t="shared" si="208"/>
        <v>0</v>
      </c>
      <c r="J115" s="29">
        <f t="shared" si="208"/>
        <v>0</v>
      </c>
      <c r="K115" s="29">
        <f t="shared" si="208"/>
        <v>0</v>
      </c>
      <c r="L115" s="29">
        <f t="shared" si="208"/>
        <v>0</v>
      </c>
      <c r="M115" s="29">
        <f t="shared" si="208"/>
        <v>0</v>
      </c>
      <c r="N115" s="29">
        <f t="shared" si="208"/>
        <v>0</v>
      </c>
      <c r="O115" s="29">
        <f t="shared" si="208"/>
        <v>0</v>
      </c>
      <c r="R115" s="129" t="s">
        <v>366</v>
      </c>
      <c r="S115" s="130"/>
      <c r="T115" s="29">
        <f>O118</f>
        <v>0</v>
      </c>
      <c r="U115" s="29">
        <f>T118</f>
        <v>0</v>
      </c>
      <c r="V115" s="29">
        <f t="shared" ref="V115:AE115" si="209">U118</f>
        <v>0</v>
      </c>
      <c r="W115" s="29">
        <f t="shared" si="209"/>
        <v>0</v>
      </c>
      <c r="X115" s="29">
        <f t="shared" si="209"/>
        <v>0</v>
      </c>
      <c r="Y115" s="29">
        <f t="shared" si="209"/>
        <v>0</v>
      </c>
      <c r="Z115" s="29">
        <f t="shared" si="209"/>
        <v>0</v>
      </c>
      <c r="AA115" s="29">
        <f t="shared" si="209"/>
        <v>0</v>
      </c>
      <c r="AB115" s="29">
        <f t="shared" si="209"/>
        <v>0</v>
      </c>
      <c r="AC115" s="29">
        <f t="shared" si="209"/>
        <v>0</v>
      </c>
      <c r="AD115" s="29">
        <f t="shared" si="209"/>
        <v>0</v>
      </c>
      <c r="AE115" s="29">
        <f t="shared" si="209"/>
        <v>0</v>
      </c>
      <c r="AJ115" s="29">
        <f>AE118</f>
        <v>0</v>
      </c>
      <c r="AK115" s="29">
        <f>AJ118</f>
        <v>0</v>
      </c>
      <c r="AL115" s="29">
        <f t="shared" ref="AL115" si="210">AK118</f>
        <v>0</v>
      </c>
      <c r="AM115" s="29">
        <f t="shared" ref="AM115" si="211">AL118</f>
        <v>0</v>
      </c>
      <c r="AN115" s="29">
        <f t="shared" ref="AN115" si="212">AM118</f>
        <v>0</v>
      </c>
      <c r="AO115" s="29">
        <f t="shared" ref="AO115" si="213">AN118</f>
        <v>0</v>
      </c>
      <c r="AP115" s="29">
        <f t="shared" ref="AP115" si="214">AO118</f>
        <v>0</v>
      </c>
      <c r="AQ115" s="29">
        <f t="shared" ref="AQ115" si="215">AP118</f>
        <v>0</v>
      </c>
      <c r="AR115" s="29">
        <f t="shared" ref="AR115" si="216">AQ118</f>
        <v>0</v>
      </c>
      <c r="AS115" s="29">
        <f t="shared" ref="AS115" si="217">AR118</f>
        <v>0</v>
      </c>
      <c r="AT115" s="29">
        <f t="shared" ref="AT115" si="218">AS118</f>
        <v>0</v>
      </c>
      <c r="AU115" s="29">
        <f t="shared" ref="AU115" si="219">AT118</f>
        <v>0</v>
      </c>
    </row>
    <row r="116" spans="2:47">
      <c r="B116" s="129" t="s">
        <v>360</v>
      </c>
      <c r="C116" s="130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R116" s="129" t="s">
        <v>360</v>
      </c>
      <c r="S116" s="130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</row>
    <row r="117" spans="2:47">
      <c r="B117" s="129" t="s">
        <v>361</v>
      </c>
      <c r="C117" s="130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R117" s="129" t="s">
        <v>361</v>
      </c>
      <c r="S117" s="130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</row>
    <row r="118" spans="2:47">
      <c r="B118" s="129" t="s">
        <v>365</v>
      </c>
      <c r="C118" s="130"/>
      <c r="D118" s="49">
        <f>D115+D116-D117</f>
        <v>0</v>
      </c>
      <c r="E118" s="49">
        <f t="shared" ref="E118:O118" si="220">E115+E116-E117</f>
        <v>0</v>
      </c>
      <c r="F118" s="49">
        <f t="shared" si="220"/>
        <v>0</v>
      </c>
      <c r="G118" s="49">
        <f t="shared" si="220"/>
        <v>0</v>
      </c>
      <c r="H118" s="49">
        <f t="shared" si="220"/>
        <v>0</v>
      </c>
      <c r="I118" s="49">
        <f t="shared" si="220"/>
        <v>0</v>
      </c>
      <c r="J118" s="49">
        <f t="shared" si="220"/>
        <v>0</v>
      </c>
      <c r="K118" s="49">
        <f t="shared" si="220"/>
        <v>0</v>
      </c>
      <c r="L118" s="49">
        <f t="shared" si="220"/>
        <v>0</v>
      </c>
      <c r="M118" s="49">
        <f t="shared" si="220"/>
        <v>0</v>
      </c>
      <c r="N118" s="49">
        <f t="shared" si="220"/>
        <v>0</v>
      </c>
      <c r="O118" s="49">
        <f t="shared" si="220"/>
        <v>0</v>
      </c>
      <c r="R118" s="129" t="s">
        <v>365</v>
      </c>
      <c r="S118" s="130"/>
      <c r="T118" s="49">
        <f>T115+T116-T117</f>
        <v>0</v>
      </c>
      <c r="U118" s="49">
        <f t="shared" ref="U118" si="221">U115+U116-U117</f>
        <v>0</v>
      </c>
      <c r="V118" s="49">
        <f t="shared" ref="V118" si="222">V115+V116-V117</f>
        <v>0</v>
      </c>
      <c r="W118" s="49">
        <f t="shared" ref="W118" si="223">W115+W116-W117</f>
        <v>0</v>
      </c>
      <c r="X118" s="49">
        <f t="shared" ref="X118" si="224">X115+X116-X117</f>
        <v>0</v>
      </c>
      <c r="Y118" s="49">
        <f t="shared" ref="Y118" si="225">Y115+Y116-Y117</f>
        <v>0</v>
      </c>
      <c r="Z118" s="49">
        <f t="shared" ref="Z118" si="226">Z115+Z116-Z117</f>
        <v>0</v>
      </c>
      <c r="AA118" s="49">
        <f t="shared" ref="AA118" si="227">AA115+AA116-AA117</f>
        <v>0</v>
      </c>
      <c r="AB118" s="49">
        <f t="shared" ref="AB118" si="228">AB115+AB116-AB117</f>
        <v>0</v>
      </c>
      <c r="AC118" s="49">
        <f t="shared" ref="AC118" si="229">AC115+AC116-AC117</f>
        <v>0</v>
      </c>
      <c r="AD118" s="49">
        <f t="shared" ref="AD118" si="230">AD115+AD116-AD117</f>
        <v>0</v>
      </c>
      <c r="AE118" s="49">
        <f t="shared" ref="AE118" si="231">AE115+AE116-AE117</f>
        <v>0</v>
      </c>
      <c r="AJ118" s="49">
        <f>AJ115+AJ116-AJ117</f>
        <v>0</v>
      </c>
      <c r="AK118" s="49">
        <f t="shared" ref="AK118:AU118" si="232">AK115+AK116-AK117</f>
        <v>0</v>
      </c>
      <c r="AL118" s="49">
        <f t="shared" si="232"/>
        <v>0</v>
      </c>
      <c r="AM118" s="49">
        <f t="shared" si="232"/>
        <v>0</v>
      </c>
      <c r="AN118" s="49">
        <f t="shared" si="232"/>
        <v>0</v>
      </c>
      <c r="AO118" s="49">
        <f t="shared" si="232"/>
        <v>0</v>
      </c>
      <c r="AP118" s="49">
        <f t="shared" si="232"/>
        <v>0</v>
      </c>
      <c r="AQ118" s="49">
        <f t="shared" si="232"/>
        <v>0</v>
      </c>
      <c r="AR118" s="49">
        <f t="shared" si="232"/>
        <v>0</v>
      </c>
      <c r="AS118" s="49">
        <f t="shared" si="232"/>
        <v>0</v>
      </c>
      <c r="AT118" s="49">
        <f t="shared" si="232"/>
        <v>0</v>
      </c>
      <c r="AU118" s="49">
        <f t="shared" si="232"/>
        <v>0</v>
      </c>
    </row>
    <row r="119" spans="2:47">
      <c r="B119" s="129" t="s">
        <v>362</v>
      </c>
      <c r="C119" s="129"/>
      <c r="D119" s="29">
        <f>($F$112/12)*(D115+D116)</f>
        <v>0</v>
      </c>
      <c r="E119" s="29">
        <f t="shared" ref="E119:O119" si="233">($F$112/12)*(E115+E116)</f>
        <v>0</v>
      </c>
      <c r="F119" s="29">
        <f t="shared" si="233"/>
        <v>0</v>
      </c>
      <c r="G119" s="29">
        <f t="shared" si="233"/>
        <v>0</v>
      </c>
      <c r="H119" s="29">
        <f t="shared" si="233"/>
        <v>0</v>
      </c>
      <c r="I119" s="29">
        <f t="shared" si="233"/>
        <v>0</v>
      </c>
      <c r="J119" s="29">
        <f t="shared" si="233"/>
        <v>0</v>
      </c>
      <c r="K119" s="29">
        <f t="shared" si="233"/>
        <v>0</v>
      </c>
      <c r="L119" s="29">
        <f t="shared" si="233"/>
        <v>0</v>
      </c>
      <c r="M119" s="29">
        <f t="shared" si="233"/>
        <v>0</v>
      </c>
      <c r="N119" s="29">
        <f t="shared" si="233"/>
        <v>0</v>
      </c>
      <c r="O119" s="29">
        <f t="shared" si="233"/>
        <v>0</v>
      </c>
      <c r="R119" s="129" t="s">
        <v>362</v>
      </c>
      <c r="S119" s="129"/>
      <c r="T119" s="29">
        <f>($V$112/12)*(T115+T116)</f>
        <v>0</v>
      </c>
      <c r="U119" s="29">
        <f t="shared" ref="U119:AE119" si="234">($V$112/12)*(U115+U116)</f>
        <v>0</v>
      </c>
      <c r="V119" s="29">
        <f t="shared" si="234"/>
        <v>0</v>
      </c>
      <c r="W119" s="29">
        <f t="shared" si="234"/>
        <v>0</v>
      </c>
      <c r="X119" s="29">
        <f t="shared" si="234"/>
        <v>0</v>
      </c>
      <c r="Y119" s="29">
        <f t="shared" si="234"/>
        <v>0</v>
      </c>
      <c r="Z119" s="29">
        <f t="shared" si="234"/>
        <v>0</v>
      </c>
      <c r="AA119" s="29">
        <f t="shared" si="234"/>
        <v>0</v>
      </c>
      <c r="AB119" s="29">
        <f t="shared" si="234"/>
        <v>0</v>
      </c>
      <c r="AC119" s="29">
        <f t="shared" si="234"/>
        <v>0</v>
      </c>
      <c r="AD119" s="29">
        <f t="shared" si="234"/>
        <v>0</v>
      </c>
      <c r="AE119" s="29">
        <f t="shared" si="234"/>
        <v>0</v>
      </c>
      <c r="AJ119" s="29">
        <f>($V$112/12)*(AJ115+AJ116)</f>
        <v>0</v>
      </c>
      <c r="AK119" s="29">
        <f t="shared" ref="AK119:AU119" si="235">($V$112/12)*(AK115+AK116)</f>
        <v>0</v>
      </c>
      <c r="AL119" s="29">
        <f t="shared" si="235"/>
        <v>0</v>
      </c>
      <c r="AM119" s="29">
        <f t="shared" si="235"/>
        <v>0</v>
      </c>
      <c r="AN119" s="29">
        <f t="shared" si="235"/>
        <v>0</v>
      </c>
      <c r="AO119" s="29">
        <f t="shared" si="235"/>
        <v>0</v>
      </c>
      <c r="AP119" s="29">
        <f t="shared" si="235"/>
        <v>0</v>
      </c>
      <c r="AQ119" s="29">
        <f t="shared" si="235"/>
        <v>0</v>
      </c>
      <c r="AR119" s="29">
        <f t="shared" si="235"/>
        <v>0</v>
      </c>
      <c r="AS119" s="29">
        <f t="shared" si="235"/>
        <v>0</v>
      </c>
      <c r="AT119" s="29">
        <f t="shared" si="235"/>
        <v>0</v>
      </c>
      <c r="AU119" s="29">
        <f t="shared" si="235"/>
        <v>0</v>
      </c>
    </row>
    <row r="122" spans="2:47">
      <c r="C122" s="95" t="s">
        <v>363</v>
      </c>
      <c r="D122" s="94"/>
      <c r="E122" s="94"/>
      <c r="F122" s="94"/>
      <c r="G122" s="81"/>
      <c r="H122" s="81"/>
      <c r="I122" s="81"/>
      <c r="J122" s="81"/>
      <c r="K122" s="81"/>
      <c r="L122" s="81"/>
      <c r="M122" s="81"/>
      <c r="N122" s="81"/>
      <c r="O122" s="81"/>
      <c r="S122" s="95" t="s">
        <v>363</v>
      </c>
      <c r="T122" s="94"/>
      <c r="U122" s="94"/>
      <c r="V122" s="94"/>
      <c r="W122" s="81"/>
      <c r="X122" s="81"/>
      <c r="Y122" s="81"/>
      <c r="Z122" s="81"/>
      <c r="AA122" s="81"/>
      <c r="AB122" s="81"/>
      <c r="AC122" s="81"/>
      <c r="AD122" s="81"/>
      <c r="AE122" s="81"/>
      <c r="AI122" s="95" t="s">
        <v>363</v>
      </c>
      <c r="AJ122" s="94"/>
      <c r="AK122" s="94"/>
      <c r="AL122" s="94"/>
      <c r="AM122" s="81"/>
      <c r="AN122" s="81"/>
      <c r="AO122" s="81"/>
      <c r="AP122" s="81"/>
      <c r="AQ122" s="81"/>
      <c r="AR122" s="81"/>
      <c r="AS122" s="81"/>
      <c r="AT122" s="81"/>
      <c r="AU122" s="81"/>
    </row>
    <row r="123" spans="2:47">
      <c r="C123" s="96" t="s">
        <v>357</v>
      </c>
      <c r="D123" s="81"/>
      <c r="E123" s="81"/>
      <c r="F123" s="98">
        <v>0.12</v>
      </c>
      <c r="G123" s="81"/>
      <c r="H123" s="81"/>
      <c r="I123" s="81"/>
      <c r="J123" s="81"/>
      <c r="K123" s="81"/>
      <c r="L123" s="81"/>
      <c r="M123" s="81"/>
      <c r="N123" s="81"/>
      <c r="O123" s="81"/>
      <c r="S123" s="96" t="s">
        <v>357</v>
      </c>
      <c r="T123" s="81"/>
      <c r="U123" s="81"/>
      <c r="V123" s="54">
        <f>F123</f>
        <v>0.12</v>
      </c>
      <c r="W123" s="81"/>
      <c r="X123" s="81"/>
      <c r="Y123" s="81"/>
      <c r="Z123" s="81"/>
      <c r="AA123" s="81"/>
      <c r="AB123" s="81"/>
      <c r="AC123" s="81"/>
      <c r="AD123" s="81"/>
      <c r="AE123" s="81"/>
      <c r="AI123" s="96" t="s">
        <v>357</v>
      </c>
      <c r="AJ123" s="81"/>
      <c r="AK123" s="81"/>
      <c r="AL123" s="54">
        <f>V123</f>
        <v>0.12</v>
      </c>
      <c r="AM123" s="81"/>
      <c r="AN123" s="81"/>
      <c r="AO123" s="81"/>
      <c r="AP123" s="81"/>
      <c r="AQ123" s="81"/>
      <c r="AR123" s="81"/>
      <c r="AS123" s="81"/>
      <c r="AT123" s="81"/>
      <c r="AU123" s="81"/>
    </row>
    <row r="124" spans="2:47">
      <c r="C124" s="96" t="s">
        <v>358</v>
      </c>
      <c r="S124" s="96" t="s">
        <v>370</v>
      </c>
      <c r="AI124" s="96" t="s">
        <v>376</v>
      </c>
    </row>
    <row r="125" spans="2:47">
      <c r="D125" s="97" t="s">
        <v>318</v>
      </c>
      <c r="E125" s="97" t="s">
        <v>307</v>
      </c>
      <c r="F125" s="97" t="s">
        <v>308</v>
      </c>
      <c r="G125" s="97" t="s">
        <v>309</v>
      </c>
      <c r="H125" s="97" t="s">
        <v>310</v>
      </c>
      <c r="I125" s="97" t="s">
        <v>311</v>
      </c>
      <c r="J125" s="97" t="s">
        <v>312</v>
      </c>
      <c r="K125" s="97" t="s">
        <v>313</v>
      </c>
      <c r="L125" s="97" t="s">
        <v>314</v>
      </c>
      <c r="M125" s="97" t="s">
        <v>315</v>
      </c>
      <c r="N125" s="97" t="s">
        <v>316</v>
      </c>
      <c r="O125" s="97" t="s">
        <v>317</v>
      </c>
      <c r="T125" s="97" t="s">
        <v>318</v>
      </c>
      <c r="U125" s="97" t="s">
        <v>307</v>
      </c>
      <c r="V125" s="97" t="s">
        <v>308</v>
      </c>
      <c r="W125" s="97" t="s">
        <v>309</v>
      </c>
      <c r="X125" s="97" t="s">
        <v>310</v>
      </c>
      <c r="Y125" s="97" t="s">
        <v>311</v>
      </c>
      <c r="Z125" s="97" t="s">
        <v>312</v>
      </c>
      <c r="AA125" s="97" t="s">
        <v>313</v>
      </c>
      <c r="AB125" s="97" t="s">
        <v>314</v>
      </c>
      <c r="AC125" s="97" t="s">
        <v>315</v>
      </c>
      <c r="AD125" s="97" t="s">
        <v>316</v>
      </c>
      <c r="AE125" s="97" t="s">
        <v>317</v>
      </c>
      <c r="AJ125" s="97" t="s">
        <v>318</v>
      </c>
      <c r="AK125" s="97" t="s">
        <v>307</v>
      </c>
      <c r="AL125" s="97" t="s">
        <v>308</v>
      </c>
      <c r="AM125" s="97" t="s">
        <v>309</v>
      </c>
      <c r="AN125" s="97" t="s">
        <v>310</v>
      </c>
      <c r="AO125" s="97" t="s">
        <v>311</v>
      </c>
      <c r="AP125" s="97" t="s">
        <v>312</v>
      </c>
      <c r="AQ125" s="97" t="s">
        <v>313</v>
      </c>
      <c r="AR125" s="97" t="s">
        <v>314</v>
      </c>
      <c r="AS125" s="97" t="s">
        <v>315</v>
      </c>
      <c r="AT125" s="97" t="s">
        <v>316</v>
      </c>
      <c r="AU125" s="97" t="s">
        <v>317</v>
      </c>
    </row>
    <row r="126" spans="2:47">
      <c r="B126" s="129" t="s">
        <v>366</v>
      </c>
      <c r="C126" s="130"/>
      <c r="D126" s="99">
        <v>0</v>
      </c>
      <c r="E126" s="29">
        <f>D129</f>
        <v>0</v>
      </c>
      <c r="F126" s="29">
        <f t="shared" ref="F126:O126" si="236">E129</f>
        <v>0</v>
      </c>
      <c r="G126" s="29">
        <f t="shared" si="236"/>
        <v>0</v>
      </c>
      <c r="H126" s="29">
        <f t="shared" si="236"/>
        <v>0</v>
      </c>
      <c r="I126" s="29">
        <f t="shared" si="236"/>
        <v>0</v>
      </c>
      <c r="J126" s="29">
        <f t="shared" si="236"/>
        <v>0</v>
      </c>
      <c r="K126" s="29">
        <f t="shared" si="236"/>
        <v>0</v>
      </c>
      <c r="L126" s="29">
        <f t="shared" si="236"/>
        <v>0</v>
      </c>
      <c r="M126" s="29">
        <f t="shared" si="236"/>
        <v>0</v>
      </c>
      <c r="N126" s="29">
        <f t="shared" si="236"/>
        <v>0</v>
      </c>
      <c r="O126" s="29">
        <f t="shared" si="236"/>
        <v>0</v>
      </c>
      <c r="R126" s="129" t="s">
        <v>366</v>
      </c>
      <c r="S126" s="130"/>
      <c r="T126" s="29">
        <f>O129</f>
        <v>0</v>
      </c>
      <c r="U126" s="29">
        <f>T129</f>
        <v>0</v>
      </c>
      <c r="V126" s="29">
        <f t="shared" ref="V126:AE126" si="237">U129</f>
        <v>0</v>
      </c>
      <c r="W126" s="29">
        <f t="shared" si="237"/>
        <v>0</v>
      </c>
      <c r="X126" s="29">
        <f t="shared" si="237"/>
        <v>0</v>
      </c>
      <c r="Y126" s="29">
        <f t="shared" si="237"/>
        <v>0</v>
      </c>
      <c r="Z126" s="29">
        <f t="shared" si="237"/>
        <v>0</v>
      </c>
      <c r="AA126" s="29">
        <f t="shared" si="237"/>
        <v>0</v>
      </c>
      <c r="AB126" s="29">
        <f t="shared" si="237"/>
        <v>0</v>
      </c>
      <c r="AC126" s="29">
        <f t="shared" si="237"/>
        <v>0</v>
      </c>
      <c r="AD126" s="29">
        <f t="shared" si="237"/>
        <v>0</v>
      </c>
      <c r="AE126" s="29">
        <f t="shared" si="237"/>
        <v>0</v>
      </c>
      <c r="AJ126" s="29">
        <f>AE129</f>
        <v>0</v>
      </c>
      <c r="AK126" s="29">
        <f>AJ129</f>
        <v>0</v>
      </c>
      <c r="AL126" s="29">
        <f t="shared" ref="AL126" si="238">AK129</f>
        <v>0</v>
      </c>
      <c r="AM126" s="29">
        <f t="shared" ref="AM126" si="239">AL129</f>
        <v>0</v>
      </c>
      <c r="AN126" s="29">
        <f t="shared" ref="AN126" si="240">AM129</f>
        <v>0</v>
      </c>
      <c r="AO126" s="29">
        <f t="shared" ref="AO126" si="241">AN129</f>
        <v>0</v>
      </c>
      <c r="AP126" s="29">
        <f t="shared" ref="AP126" si="242">AO129</f>
        <v>0</v>
      </c>
      <c r="AQ126" s="29">
        <f t="shared" ref="AQ126" si="243">AP129</f>
        <v>0</v>
      </c>
      <c r="AR126" s="29">
        <f t="shared" ref="AR126" si="244">AQ129</f>
        <v>0</v>
      </c>
      <c r="AS126" s="29">
        <f t="shared" ref="AS126" si="245">AR129</f>
        <v>0</v>
      </c>
      <c r="AT126" s="29">
        <f t="shared" ref="AT126" si="246">AS129</f>
        <v>0</v>
      </c>
      <c r="AU126" s="29">
        <f t="shared" ref="AU126" si="247">AT129</f>
        <v>0</v>
      </c>
    </row>
    <row r="127" spans="2:47">
      <c r="B127" s="129" t="s">
        <v>360</v>
      </c>
      <c r="C127" s="130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R127" s="129" t="s">
        <v>360</v>
      </c>
      <c r="S127" s="130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</row>
    <row r="128" spans="2:47">
      <c r="B128" s="129" t="s">
        <v>361</v>
      </c>
      <c r="C128" s="130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R128" s="129" t="s">
        <v>361</v>
      </c>
      <c r="S128" s="130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</row>
    <row r="129" spans="2:47">
      <c r="B129" s="129" t="s">
        <v>365</v>
      </c>
      <c r="C129" s="130"/>
      <c r="D129" s="49">
        <f>D126+D127-D128</f>
        <v>0</v>
      </c>
      <c r="E129" s="49">
        <f t="shared" ref="E129" si="248">E126+E127-E128</f>
        <v>0</v>
      </c>
      <c r="F129" s="49">
        <f t="shared" ref="F129" si="249">F126+F127-F128</f>
        <v>0</v>
      </c>
      <c r="G129" s="49">
        <f t="shared" ref="G129" si="250">G126+G127-G128</f>
        <v>0</v>
      </c>
      <c r="H129" s="49">
        <f t="shared" ref="H129" si="251">H126+H127-H128</f>
        <v>0</v>
      </c>
      <c r="I129" s="49">
        <f t="shared" ref="I129" si="252">I126+I127-I128</f>
        <v>0</v>
      </c>
      <c r="J129" s="49">
        <f t="shared" ref="J129" si="253">J126+J127-J128</f>
        <v>0</v>
      </c>
      <c r="K129" s="49">
        <f t="shared" ref="K129" si="254">K126+K127-K128</f>
        <v>0</v>
      </c>
      <c r="L129" s="49">
        <f t="shared" ref="L129" si="255">L126+L127-L128</f>
        <v>0</v>
      </c>
      <c r="M129" s="49">
        <f t="shared" ref="M129" si="256">M126+M127-M128</f>
        <v>0</v>
      </c>
      <c r="N129" s="49">
        <f t="shared" ref="N129" si="257">N126+N127-N128</f>
        <v>0</v>
      </c>
      <c r="O129" s="49">
        <f t="shared" ref="O129" si="258">O126+O127-O128</f>
        <v>0</v>
      </c>
      <c r="R129" s="129" t="s">
        <v>365</v>
      </c>
      <c r="S129" s="130"/>
      <c r="T129" s="49">
        <f>T126+T127-T128</f>
        <v>0</v>
      </c>
      <c r="U129" s="49">
        <f t="shared" ref="U129" si="259">U126+U127-U128</f>
        <v>0</v>
      </c>
      <c r="V129" s="49">
        <f t="shared" ref="V129" si="260">V126+V127-V128</f>
        <v>0</v>
      </c>
      <c r="W129" s="49">
        <f t="shared" ref="W129" si="261">W126+W127-W128</f>
        <v>0</v>
      </c>
      <c r="X129" s="49">
        <f t="shared" ref="X129" si="262">X126+X127-X128</f>
        <v>0</v>
      </c>
      <c r="Y129" s="49">
        <f t="shared" ref="Y129" si="263">Y126+Y127-Y128</f>
        <v>0</v>
      </c>
      <c r="Z129" s="49">
        <f t="shared" ref="Z129" si="264">Z126+Z127-Z128</f>
        <v>0</v>
      </c>
      <c r="AA129" s="49">
        <f t="shared" ref="AA129" si="265">AA126+AA127-AA128</f>
        <v>0</v>
      </c>
      <c r="AB129" s="49">
        <f t="shared" ref="AB129" si="266">AB126+AB127-AB128</f>
        <v>0</v>
      </c>
      <c r="AC129" s="49">
        <f t="shared" ref="AC129" si="267">AC126+AC127-AC128</f>
        <v>0</v>
      </c>
      <c r="AD129" s="49">
        <f t="shared" ref="AD129" si="268">AD126+AD127-AD128</f>
        <v>0</v>
      </c>
      <c r="AE129" s="49">
        <f t="shared" ref="AE129" si="269">AE126+AE127-AE128</f>
        <v>0</v>
      </c>
      <c r="AJ129" s="49">
        <f>AJ126+AJ127-AJ128</f>
        <v>0</v>
      </c>
      <c r="AK129" s="49">
        <f t="shared" ref="AK129:AU129" si="270">AK126+AK127-AK128</f>
        <v>0</v>
      </c>
      <c r="AL129" s="49">
        <f t="shared" si="270"/>
        <v>0</v>
      </c>
      <c r="AM129" s="49">
        <f t="shared" si="270"/>
        <v>0</v>
      </c>
      <c r="AN129" s="49">
        <f t="shared" si="270"/>
        <v>0</v>
      </c>
      <c r="AO129" s="49">
        <f t="shared" si="270"/>
        <v>0</v>
      </c>
      <c r="AP129" s="49">
        <f t="shared" si="270"/>
        <v>0</v>
      </c>
      <c r="AQ129" s="49">
        <f t="shared" si="270"/>
        <v>0</v>
      </c>
      <c r="AR129" s="49">
        <f t="shared" si="270"/>
        <v>0</v>
      </c>
      <c r="AS129" s="49">
        <f t="shared" si="270"/>
        <v>0</v>
      </c>
      <c r="AT129" s="49">
        <f t="shared" si="270"/>
        <v>0</v>
      </c>
      <c r="AU129" s="49">
        <f t="shared" si="270"/>
        <v>0</v>
      </c>
    </row>
    <row r="130" spans="2:47">
      <c r="B130" s="129" t="s">
        <v>362</v>
      </c>
      <c r="C130" s="129"/>
      <c r="D130" s="29">
        <f>($F$123/12)*(D126+D127)</f>
        <v>0</v>
      </c>
      <c r="E130" s="29">
        <f t="shared" ref="E130:O130" si="271">($F$123/12)*(E126+E127)</f>
        <v>0</v>
      </c>
      <c r="F130" s="29">
        <f t="shared" si="271"/>
        <v>0</v>
      </c>
      <c r="G130" s="29">
        <f t="shared" si="271"/>
        <v>0</v>
      </c>
      <c r="H130" s="29">
        <f t="shared" si="271"/>
        <v>0</v>
      </c>
      <c r="I130" s="29">
        <f t="shared" si="271"/>
        <v>0</v>
      </c>
      <c r="J130" s="29">
        <f t="shared" si="271"/>
        <v>0</v>
      </c>
      <c r="K130" s="29">
        <f t="shared" si="271"/>
        <v>0</v>
      </c>
      <c r="L130" s="29">
        <f t="shared" si="271"/>
        <v>0</v>
      </c>
      <c r="M130" s="29">
        <f t="shared" si="271"/>
        <v>0</v>
      </c>
      <c r="N130" s="29">
        <f t="shared" si="271"/>
        <v>0</v>
      </c>
      <c r="O130" s="29">
        <f t="shared" si="271"/>
        <v>0</v>
      </c>
      <c r="R130" s="129" t="s">
        <v>362</v>
      </c>
      <c r="S130" s="129"/>
      <c r="T130" s="29">
        <f>($V$123/12)*(T126+T127)</f>
        <v>0</v>
      </c>
      <c r="U130" s="29">
        <f t="shared" ref="U130:AE130" si="272">($V$123/12)*(U126+U127)</f>
        <v>0</v>
      </c>
      <c r="V130" s="29">
        <f t="shared" si="272"/>
        <v>0</v>
      </c>
      <c r="W130" s="29">
        <f t="shared" si="272"/>
        <v>0</v>
      </c>
      <c r="X130" s="29">
        <f t="shared" si="272"/>
        <v>0</v>
      </c>
      <c r="Y130" s="29">
        <f t="shared" si="272"/>
        <v>0</v>
      </c>
      <c r="Z130" s="29">
        <f t="shared" si="272"/>
        <v>0</v>
      </c>
      <c r="AA130" s="29">
        <f t="shared" si="272"/>
        <v>0</v>
      </c>
      <c r="AB130" s="29">
        <f t="shared" si="272"/>
        <v>0</v>
      </c>
      <c r="AC130" s="29">
        <f t="shared" si="272"/>
        <v>0</v>
      </c>
      <c r="AD130" s="29">
        <f t="shared" si="272"/>
        <v>0</v>
      </c>
      <c r="AE130" s="29">
        <f t="shared" si="272"/>
        <v>0</v>
      </c>
      <c r="AJ130" s="29">
        <f>($V$123/12)*(AJ126+AJ127)</f>
        <v>0</v>
      </c>
      <c r="AK130" s="29">
        <f t="shared" ref="AK130:AU130" si="273">($V$123/12)*(AK126+AK127)</f>
        <v>0</v>
      </c>
      <c r="AL130" s="29">
        <f t="shared" si="273"/>
        <v>0</v>
      </c>
      <c r="AM130" s="29">
        <f t="shared" si="273"/>
        <v>0</v>
      </c>
      <c r="AN130" s="29">
        <f t="shared" si="273"/>
        <v>0</v>
      </c>
      <c r="AO130" s="29">
        <f t="shared" si="273"/>
        <v>0</v>
      </c>
      <c r="AP130" s="29">
        <f t="shared" si="273"/>
        <v>0</v>
      </c>
      <c r="AQ130" s="29">
        <f t="shared" si="273"/>
        <v>0</v>
      </c>
      <c r="AR130" s="29">
        <f t="shared" si="273"/>
        <v>0</v>
      </c>
      <c r="AS130" s="29">
        <f t="shared" si="273"/>
        <v>0</v>
      </c>
      <c r="AT130" s="29">
        <f t="shared" si="273"/>
        <v>0</v>
      </c>
      <c r="AU130" s="29">
        <f t="shared" si="273"/>
        <v>0</v>
      </c>
    </row>
    <row r="133" spans="2:47">
      <c r="C133" s="95" t="s">
        <v>364</v>
      </c>
      <c r="D133" s="94"/>
      <c r="E133" s="94"/>
      <c r="F133" s="94"/>
      <c r="G133" s="81"/>
      <c r="H133" s="81"/>
      <c r="I133" s="81"/>
      <c r="J133" s="81"/>
      <c r="K133" s="81"/>
      <c r="L133" s="81"/>
      <c r="M133" s="81"/>
      <c r="N133" s="81"/>
      <c r="O133" s="81"/>
      <c r="S133" s="95" t="s">
        <v>364</v>
      </c>
      <c r="T133" s="94"/>
      <c r="U133" s="94"/>
      <c r="V133" s="94"/>
      <c r="W133" s="81"/>
      <c r="X133" s="81"/>
      <c r="Y133" s="81"/>
      <c r="Z133" s="81"/>
      <c r="AA133" s="81"/>
      <c r="AB133" s="81"/>
      <c r="AC133" s="81"/>
      <c r="AD133" s="81"/>
      <c r="AE133" s="81"/>
      <c r="AI133" s="95" t="s">
        <v>364</v>
      </c>
      <c r="AJ133" s="94"/>
      <c r="AK133" s="94"/>
      <c r="AL133" s="94"/>
      <c r="AM133" s="81"/>
      <c r="AN133" s="81"/>
      <c r="AO133" s="81"/>
      <c r="AP133" s="81"/>
      <c r="AQ133" s="81"/>
      <c r="AR133" s="81"/>
      <c r="AS133" s="81"/>
      <c r="AT133" s="81"/>
      <c r="AU133" s="81"/>
    </row>
    <row r="134" spans="2:47">
      <c r="C134" s="96" t="s">
        <v>357</v>
      </c>
      <c r="D134" s="81"/>
      <c r="E134" s="81"/>
      <c r="F134" s="98"/>
      <c r="G134" s="81"/>
      <c r="H134" s="81"/>
      <c r="I134" s="81"/>
      <c r="J134" s="81"/>
      <c r="K134" s="81"/>
      <c r="L134" s="81"/>
      <c r="M134" s="81"/>
      <c r="N134" s="81"/>
      <c r="O134" s="81"/>
      <c r="S134" s="96" t="s">
        <v>357</v>
      </c>
      <c r="T134" s="81"/>
      <c r="U134" s="81"/>
      <c r="V134" s="54">
        <f>F134</f>
        <v>0</v>
      </c>
      <c r="W134" s="81"/>
      <c r="X134" s="81"/>
      <c r="Y134" s="81"/>
      <c r="Z134" s="81"/>
      <c r="AA134" s="81"/>
      <c r="AB134" s="81"/>
      <c r="AC134" s="81"/>
      <c r="AD134" s="81"/>
      <c r="AE134" s="81"/>
      <c r="AI134" s="96" t="s">
        <v>357</v>
      </c>
      <c r="AJ134" s="81"/>
      <c r="AK134" s="81"/>
      <c r="AL134" s="54">
        <f>V134</f>
        <v>0</v>
      </c>
      <c r="AM134" s="81"/>
      <c r="AN134" s="81"/>
      <c r="AO134" s="81"/>
      <c r="AP134" s="81"/>
      <c r="AQ134" s="81"/>
      <c r="AR134" s="81"/>
      <c r="AS134" s="81"/>
      <c r="AT134" s="81"/>
      <c r="AU134" s="81"/>
    </row>
    <row r="135" spans="2:47">
      <c r="C135" s="96" t="s">
        <v>358</v>
      </c>
      <c r="S135" s="96" t="s">
        <v>370</v>
      </c>
      <c r="AI135" s="96" t="s">
        <v>376</v>
      </c>
    </row>
    <row r="136" spans="2:47">
      <c r="D136" s="97" t="s">
        <v>318</v>
      </c>
      <c r="E136" s="97" t="s">
        <v>307</v>
      </c>
      <c r="F136" s="97" t="s">
        <v>308</v>
      </c>
      <c r="G136" s="97" t="s">
        <v>309</v>
      </c>
      <c r="H136" s="97" t="s">
        <v>310</v>
      </c>
      <c r="I136" s="97" t="s">
        <v>311</v>
      </c>
      <c r="J136" s="97" t="s">
        <v>312</v>
      </c>
      <c r="K136" s="97" t="s">
        <v>313</v>
      </c>
      <c r="L136" s="97" t="s">
        <v>314</v>
      </c>
      <c r="M136" s="97" t="s">
        <v>315</v>
      </c>
      <c r="N136" s="97" t="s">
        <v>316</v>
      </c>
      <c r="O136" s="97" t="s">
        <v>317</v>
      </c>
      <c r="T136" s="97" t="s">
        <v>318</v>
      </c>
      <c r="U136" s="97" t="s">
        <v>307</v>
      </c>
      <c r="V136" s="97" t="s">
        <v>308</v>
      </c>
      <c r="W136" s="97" t="s">
        <v>309</v>
      </c>
      <c r="X136" s="97" t="s">
        <v>310</v>
      </c>
      <c r="Y136" s="97" t="s">
        <v>311</v>
      </c>
      <c r="Z136" s="97" t="s">
        <v>312</v>
      </c>
      <c r="AA136" s="97" t="s">
        <v>313</v>
      </c>
      <c r="AB136" s="97" t="s">
        <v>314</v>
      </c>
      <c r="AC136" s="97" t="s">
        <v>315</v>
      </c>
      <c r="AD136" s="97" t="s">
        <v>316</v>
      </c>
      <c r="AE136" s="97" t="s">
        <v>317</v>
      </c>
      <c r="AJ136" s="97" t="s">
        <v>318</v>
      </c>
      <c r="AK136" s="97" t="s">
        <v>307</v>
      </c>
      <c r="AL136" s="97" t="s">
        <v>308</v>
      </c>
      <c r="AM136" s="97" t="s">
        <v>309</v>
      </c>
      <c r="AN136" s="97" t="s">
        <v>310</v>
      </c>
      <c r="AO136" s="97" t="s">
        <v>311</v>
      </c>
      <c r="AP136" s="97" t="s">
        <v>312</v>
      </c>
      <c r="AQ136" s="97" t="s">
        <v>313</v>
      </c>
      <c r="AR136" s="97" t="s">
        <v>314</v>
      </c>
      <c r="AS136" s="97" t="s">
        <v>315</v>
      </c>
      <c r="AT136" s="97" t="s">
        <v>316</v>
      </c>
      <c r="AU136" s="97" t="s">
        <v>317</v>
      </c>
    </row>
    <row r="137" spans="2:47">
      <c r="B137" s="129" t="s">
        <v>366</v>
      </c>
      <c r="C137" s="130"/>
      <c r="D137" s="99">
        <v>0</v>
      </c>
      <c r="E137" s="29">
        <f>D137+D138-D139</f>
        <v>0</v>
      </c>
      <c r="F137" s="29">
        <f t="shared" ref="F137:O137" si="274">E137+E138-E139</f>
        <v>0</v>
      </c>
      <c r="G137" s="29">
        <f t="shared" si="274"/>
        <v>0</v>
      </c>
      <c r="H137" s="29">
        <f t="shared" si="274"/>
        <v>0</v>
      </c>
      <c r="I137" s="29">
        <f t="shared" si="274"/>
        <v>0</v>
      </c>
      <c r="J137" s="29">
        <f t="shared" si="274"/>
        <v>0</v>
      </c>
      <c r="K137" s="29">
        <f t="shared" si="274"/>
        <v>0</v>
      </c>
      <c r="L137" s="29">
        <f t="shared" si="274"/>
        <v>0</v>
      </c>
      <c r="M137" s="29">
        <f t="shared" si="274"/>
        <v>0</v>
      </c>
      <c r="N137" s="29">
        <f t="shared" si="274"/>
        <v>0</v>
      </c>
      <c r="O137" s="29">
        <f t="shared" si="274"/>
        <v>0</v>
      </c>
      <c r="R137" s="129" t="s">
        <v>366</v>
      </c>
      <c r="S137" s="130"/>
      <c r="T137" s="29">
        <f>O140</f>
        <v>0</v>
      </c>
      <c r="U137" s="29">
        <f>T137+T138-T139</f>
        <v>0</v>
      </c>
      <c r="V137" s="29">
        <f t="shared" ref="V137:AE137" si="275">U137+U138-U139</f>
        <v>0</v>
      </c>
      <c r="W137" s="29">
        <f t="shared" si="275"/>
        <v>0</v>
      </c>
      <c r="X137" s="29">
        <f t="shared" si="275"/>
        <v>0</v>
      </c>
      <c r="Y137" s="29">
        <f t="shared" si="275"/>
        <v>0</v>
      </c>
      <c r="Z137" s="29">
        <f t="shared" si="275"/>
        <v>0</v>
      </c>
      <c r="AA137" s="29">
        <f t="shared" si="275"/>
        <v>0</v>
      </c>
      <c r="AB137" s="29">
        <f t="shared" si="275"/>
        <v>0</v>
      </c>
      <c r="AC137" s="29">
        <f t="shared" si="275"/>
        <v>0</v>
      </c>
      <c r="AD137" s="29">
        <f t="shared" si="275"/>
        <v>0</v>
      </c>
      <c r="AE137" s="29">
        <f t="shared" si="275"/>
        <v>0</v>
      </c>
      <c r="AJ137" s="29">
        <f>AE140</f>
        <v>0</v>
      </c>
      <c r="AK137" s="29">
        <f>AJ137+AJ138-AJ139</f>
        <v>0</v>
      </c>
      <c r="AL137" s="29">
        <f t="shared" ref="AL137" si="276">AK137+AK138-AK139</f>
        <v>0</v>
      </c>
      <c r="AM137" s="29">
        <f t="shared" ref="AM137" si="277">AL137+AL138-AL139</f>
        <v>0</v>
      </c>
      <c r="AN137" s="29">
        <f t="shared" ref="AN137" si="278">AM137+AM138-AM139</f>
        <v>0</v>
      </c>
      <c r="AO137" s="29">
        <f t="shared" ref="AO137" si="279">AN137+AN138-AN139</f>
        <v>0</v>
      </c>
      <c r="AP137" s="29">
        <f t="shared" ref="AP137" si="280">AO137+AO138-AO139</f>
        <v>0</v>
      </c>
      <c r="AQ137" s="29">
        <f t="shared" ref="AQ137" si="281">AP137+AP138-AP139</f>
        <v>0</v>
      </c>
      <c r="AR137" s="29">
        <f t="shared" ref="AR137" si="282">AQ137+AQ138-AQ139</f>
        <v>0</v>
      </c>
      <c r="AS137" s="29">
        <f t="shared" ref="AS137" si="283">AR137+AR138-AR139</f>
        <v>0</v>
      </c>
      <c r="AT137" s="29">
        <f t="shared" ref="AT137" si="284">AS137+AS138-AS139</f>
        <v>0</v>
      </c>
      <c r="AU137" s="29">
        <f t="shared" ref="AU137" si="285">AT137+AT138-AT139</f>
        <v>0</v>
      </c>
    </row>
    <row r="138" spans="2:47">
      <c r="B138" s="129" t="s">
        <v>360</v>
      </c>
      <c r="C138" s="130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R138" s="129" t="s">
        <v>360</v>
      </c>
      <c r="S138" s="130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</row>
    <row r="139" spans="2:47">
      <c r="B139" s="129" t="s">
        <v>361</v>
      </c>
      <c r="C139" s="130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R139" s="129" t="s">
        <v>361</v>
      </c>
      <c r="S139" s="130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</row>
    <row r="140" spans="2:47">
      <c r="B140" s="129" t="s">
        <v>365</v>
      </c>
      <c r="C140" s="130"/>
      <c r="D140" s="49">
        <f>D137+D138-D139</f>
        <v>0</v>
      </c>
      <c r="E140" s="49">
        <f t="shared" ref="E140" si="286">E137+E138-E139</f>
        <v>0</v>
      </c>
      <c r="F140" s="49">
        <f t="shared" ref="F140" si="287">F137+F138-F139</f>
        <v>0</v>
      </c>
      <c r="G140" s="49">
        <f t="shared" ref="G140" si="288">G137+G138-G139</f>
        <v>0</v>
      </c>
      <c r="H140" s="49">
        <f t="shared" ref="H140" si="289">H137+H138-H139</f>
        <v>0</v>
      </c>
      <c r="I140" s="49">
        <f t="shared" ref="I140" si="290">I137+I138-I139</f>
        <v>0</v>
      </c>
      <c r="J140" s="49">
        <f t="shared" ref="J140" si="291">J137+J138-J139</f>
        <v>0</v>
      </c>
      <c r="K140" s="49">
        <f t="shared" ref="K140" si="292">K137+K138-K139</f>
        <v>0</v>
      </c>
      <c r="L140" s="49">
        <f t="shared" ref="L140" si="293">L137+L138-L139</f>
        <v>0</v>
      </c>
      <c r="M140" s="49">
        <f t="shared" ref="M140" si="294">M137+M138-M139</f>
        <v>0</v>
      </c>
      <c r="N140" s="49">
        <f t="shared" ref="N140" si="295">N137+N138-N139</f>
        <v>0</v>
      </c>
      <c r="O140" s="49">
        <f t="shared" ref="O140" si="296">O137+O138-O139</f>
        <v>0</v>
      </c>
      <c r="R140" s="129" t="s">
        <v>365</v>
      </c>
      <c r="S140" s="130"/>
      <c r="T140" s="49">
        <f>T137+T138-T139</f>
        <v>0</v>
      </c>
      <c r="U140" s="49">
        <f t="shared" ref="U140" si="297">U137+U138-U139</f>
        <v>0</v>
      </c>
      <c r="V140" s="49">
        <f t="shared" ref="V140" si="298">V137+V138-V139</f>
        <v>0</v>
      </c>
      <c r="W140" s="49">
        <f t="shared" ref="W140" si="299">W137+W138-W139</f>
        <v>0</v>
      </c>
      <c r="X140" s="49">
        <f t="shared" ref="X140" si="300">X137+X138-X139</f>
        <v>0</v>
      </c>
      <c r="Y140" s="49">
        <f t="shared" ref="Y140" si="301">Y137+Y138-Y139</f>
        <v>0</v>
      </c>
      <c r="Z140" s="49">
        <f t="shared" ref="Z140" si="302">Z137+Z138-Z139</f>
        <v>0</v>
      </c>
      <c r="AA140" s="49">
        <f t="shared" ref="AA140" si="303">AA137+AA138-AA139</f>
        <v>0</v>
      </c>
      <c r="AB140" s="49">
        <f t="shared" ref="AB140" si="304">AB137+AB138-AB139</f>
        <v>0</v>
      </c>
      <c r="AC140" s="49">
        <f t="shared" ref="AC140" si="305">AC137+AC138-AC139</f>
        <v>0</v>
      </c>
      <c r="AD140" s="49">
        <f t="shared" ref="AD140" si="306">AD137+AD138-AD139</f>
        <v>0</v>
      </c>
      <c r="AE140" s="49">
        <f t="shared" ref="AE140" si="307">AE137+AE138-AE139</f>
        <v>0</v>
      </c>
      <c r="AJ140" s="49">
        <f>AJ137+AJ138-AJ139</f>
        <v>0</v>
      </c>
      <c r="AK140" s="49">
        <f t="shared" ref="AK140:AU140" si="308">AK137+AK138-AK139</f>
        <v>0</v>
      </c>
      <c r="AL140" s="49">
        <f t="shared" si="308"/>
        <v>0</v>
      </c>
      <c r="AM140" s="49">
        <f t="shared" si="308"/>
        <v>0</v>
      </c>
      <c r="AN140" s="49">
        <f t="shared" si="308"/>
        <v>0</v>
      </c>
      <c r="AO140" s="49">
        <f t="shared" si="308"/>
        <v>0</v>
      </c>
      <c r="AP140" s="49">
        <f t="shared" si="308"/>
        <v>0</v>
      </c>
      <c r="AQ140" s="49">
        <f t="shared" si="308"/>
        <v>0</v>
      </c>
      <c r="AR140" s="49">
        <f t="shared" si="308"/>
        <v>0</v>
      </c>
      <c r="AS140" s="49">
        <f t="shared" si="308"/>
        <v>0</v>
      </c>
      <c r="AT140" s="49">
        <f t="shared" si="308"/>
        <v>0</v>
      </c>
      <c r="AU140" s="49">
        <f t="shared" si="308"/>
        <v>0</v>
      </c>
    </row>
    <row r="141" spans="2:47">
      <c r="B141" s="129" t="s">
        <v>362</v>
      </c>
      <c r="C141" s="129"/>
      <c r="D141" s="29">
        <f>($F$134/12)*(D137+D138)</f>
        <v>0</v>
      </c>
      <c r="E141" s="29">
        <f t="shared" ref="E141:O141" si="309">($F$134/12)*(E137+E138)</f>
        <v>0</v>
      </c>
      <c r="F141" s="29">
        <f t="shared" si="309"/>
        <v>0</v>
      </c>
      <c r="G141" s="29">
        <f t="shared" si="309"/>
        <v>0</v>
      </c>
      <c r="H141" s="29">
        <f t="shared" si="309"/>
        <v>0</v>
      </c>
      <c r="I141" s="29">
        <f t="shared" si="309"/>
        <v>0</v>
      </c>
      <c r="J141" s="29">
        <f t="shared" si="309"/>
        <v>0</v>
      </c>
      <c r="K141" s="29">
        <f t="shared" si="309"/>
        <v>0</v>
      </c>
      <c r="L141" s="29">
        <f t="shared" si="309"/>
        <v>0</v>
      </c>
      <c r="M141" s="29">
        <f t="shared" si="309"/>
        <v>0</v>
      </c>
      <c r="N141" s="29">
        <f t="shared" si="309"/>
        <v>0</v>
      </c>
      <c r="O141" s="29">
        <f t="shared" si="309"/>
        <v>0</v>
      </c>
      <c r="R141" s="129" t="s">
        <v>362</v>
      </c>
      <c r="S141" s="129"/>
      <c r="T141" s="29">
        <f>($V$134/12)*(T137+T138)</f>
        <v>0</v>
      </c>
      <c r="U141" s="29">
        <f t="shared" ref="U141:AE141" si="310">($V$134/12)*(U137+U138)</f>
        <v>0</v>
      </c>
      <c r="V141" s="29">
        <f t="shared" si="310"/>
        <v>0</v>
      </c>
      <c r="W141" s="29">
        <f t="shared" si="310"/>
        <v>0</v>
      </c>
      <c r="X141" s="29">
        <f t="shared" si="310"/>
        <v>0</v>
      </c>
      <c r="Y141" s="29">
        <f t="shared" si="310"/>
        <v>0</v>
      </c>
      <c r="Z141" s="29">
        <f t="shared" si="310"/>
        <v>0</v>
      </c>
      <c r="AA141" s="29">
        <f t="shared" si="310"/>
        <v>0</v>
      </c>
      <c r="AB141" s="29">
        <f t="shared" si="310"/>
        <v>0</v>
      </c>
      <c r="AC141" s="29">
        <f t="shared" si="310"/>
        <v>0</v>
      </c>
      <c r="AD141" s="29">
        <f t="shared" si="310"/>
        <v>0</v>
      </c>
      <c r="AE141" s="29">
        <f t="shared" si="310"/>
        <v>0</v>
      </c>
      <c r="AJ141" s="29">
        <f>($V$134/12)*(AJ137+AJ138)</f>
        <v>0</v>
      </c>
      <c r="AK141" s="29">
        <f t="shared" ref="AK141:AU141" si="311">($V$134/12)*(AK137+AK138)</f>
        <v>0</v>
      </c>
      <c r="AL141" s="29">
        <f t="shared" si="311"/>
        <v>0</v>
      </c>
      <c r="AM141" s="29">
        <f t="shared" si="311"/>
        <v>0</v>
      </c>
      <c r="AN141" s="29">
        <f t="shared" si="311"/>
        <v>0</v>
      </c>
      <c r="AO141" s="29">
        <f t="shared" si="311"/>
        <v>0</v>
      </c>
      <c r="AP141" s="29">
        <f t="shared" si="311"/>
        <v>0</v>
      </c>
      <c r="AQ141" s="29">
        <f t="shared" si="311"/>
        <v>0</v>
      </c>
      <c r="AR141" s="29">
        <f t="shared" si="311"/>
        <v>0</v>
      </c>
      <c r="AS141" s="29">
        <f t="shared" si="311"/>
        <v>0</v>
      </c>
      <c r="AT141" s="29">
        <f t="shared" si="311"/>
        <v>0</v>
      </c>
      <c r="AU141" s="29">
        <f t="shared" si="311"/>
        <v>0</v>
      </c>
    </row>
  </sheetData>
  <mergeCells count="33">
    <mergeCell ref="R137:S137"/>
    <mergeCell ref="R138:S138"/>
    <mergeCell ref="R139:S139"/>
    <mergeCell ref="R140:S140"/>
    <mergeCell ref="R141:S141"/>
    <mergeCell ref="R130:S130"/>
    <mergeCell ref="S3:AE3"/>
    <mergeCell ref="R115:S115"/>
    <mergeCell ref="R116:S116"/>
    <mergeCell ref="R117:S117"/>
    <mergeCell ref="R118:S118"/>
    <mergeCell ref="R119:S119"/>
    <mergeCell ref="R126:S126"/>
    <mergeCell ref="R127:S127"/>
    <mergeCell ref="R128:S128"/>
    <mergeCell ref="R129:S129"/>
    <mergeCell ref="B141:C141"/>
    <mergeCell ref="B118:C118"/>
    <mergeCell ref="B129:C129"/>
    <mergeCell ref="B140:C140"/>
    <mergeCell ref="B127:C127"/>
    <mergeCell ref="B128:C128"/>
    <mergeCell ref="B130:C130"/>
    <mergeCell ref="B137:C137"/>
    <mergeCell ref="B138:C138"/>
    <mergeCell ref="B139:C139"/>
    <mergeCell ref="B126:C126"/>
    <mergeCell ref="AI3:AU3"/>
    <mergeCell ref="C3:O3"/>
    <mergeCell ref="B116:C116"/>
    <mergeCell ref="B117:C117"/>
    <mergeCell ref="B119:C119"/>
    <mergeCell ref="B115:C115"/>
  </mergeCells>
  <conditionalFormatting sqref="D108:O108 D105:O105">
    <cfRule type="cellIs" dxfId="5" priority="3" operator="lessThan">
      <formula>0</formula>
    </cfRule>
  </conditionalFormatting>
  <conditionalFormatting sqref="T108:AE108 T105:AE105">
    <cfRule type="cellIs" dxfId="4" priority="2" operator="lessThan">
      <formula>0</formula>
    </cfRule>
  </conditionalFormatting>
  <conditionalFormatting sqref="AJ108:AU108 AJ105:AU105">
    <cfRule type="cellIs" dxfId="3" priority="1" operator="lessThan">
      <formula>0</formula>
    </cfRule>
  </conditionalFormatting>
  <pageMargins left="0.7" right="0.7" top="0.75" bottom="0.75" header="0.3" footer="0.3"/>
  <pageSetup scale="62" orientation="landscape" r:id="rId1"/>
  <rowBreaks count="1" manualBreakCount="1">
    <brk id="109" max="16383" man="1"/>
  </rowBreaks>
  <colBreaks count="2" manualBreakCount="2">
    <brk id="17" max="1048575" man="1"/>
    <brk id="3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W108"/>
  <sheetViews>
    <sheetView zoomScale="70" zoomScaleNormal="70" zoomScalePage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6" sqref="I6"/>
    </sheetView>
  </sheetViews>
  <sheetFormatPr baseColWidth="10" defaultColWidth="8.83203125" defaultRowHeight="14" outlineLevelRow="1"/>
  <cols>
    <col min="1" max="1" width="7.5" style="24" customWidth="1"/>
    <col min="2" max="2" width="42.83203125" style="24" bestFit="1" customWidth="1"/>
    <col min="3" max="3" width="10.1640625" style="24" bestFit="1" customWidth="1"/>
    <col min="4" max="16" width="9.83203125" style="24" customWidth="1"/>
    <col min="17" max="17" width="5.6640625" style="103" customWidth="1"/>
    <col min="18" max="18" width="2.5" style="24" customWidth="1"/>
    <col min="19" max="19" width="10.1640625" style="24" bestFit="1" customWidth="1"/>
    <col min="20" max="29" width="9.83203125" style="24" customWidth="1"/>
    <col min="30" max="30" width="10.1640625" style="24" customWidth="1"/>
    <col min="31" max="31" width="10.5" style="24" customWidth="1"/>
    <col min="32" max="32" width="9.83203125" style="24" customWidth="1"/>
    <col min="33" max="33" width="5.6640625" style="103" customWidth="1"/>
    <col min="34" max="34" width="1.83203125" style="24" customWidth="1"/>
    <col min="35" max="35" width="10.1640625" style="24" bestFit="1" customWidth="1"/>
    <col min="36" max="44" width="9.83203125" style="24" customWidth="1"/>
    <col min="45" max="46" width="10.1640625" style="24" customWidth="1"/>
    <col min="47" max="47" width="10.5" style="24" customWidth="1"/>
    <col min="48" max="48" width="9.83203125" style="24" customWidth="1"/>
    <col min="49" max="49" width="5.6640625" style="83" customWidth="1"/>
    <col min="50" max="16384" width="8.83203125" style="24"/>
  </cols>
  <sheetData>
    <row r="1" spans="1:49" ht="16">
      <c r="A1" s="64" t="str">
        <f>'General Info Input'!C1</f>
        <v>Sol Aureus College Preparatory</v>
      </c>
    </row>
    <row r="2" spans="1:49" ht="15">
      <c r="A2" s="65" t="s">
        <v>323</v>
      </c>
    </row>
    <row r="3" spans="1:49">
      <c r="C3" s="128" t="s">
        <v>76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S3" s="128" t="s">
        <v>77</v>
      </c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I3" s="128" t="s">
        <v>78</v>
      </c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</row>
    <row r="4" spans="1:49" ht="28">
      <c r="C4" s="21" t="s">
        <v>306</v>
      </c>
      <c r="D4" s="102" t="s">
        <v>318</v>
      </c>
      <c r="E4" s="102" t="s">
        <v>307</v>
      </c>
      <c r="F4" s="102" t="s">
        <v>308</v>
      </c>
      <c r="G4" s="102" t="s">
        <v>309</v>
      </c>
      <c r="H4" s="102" t="s">
        <v>310</v>
      </c>
      <c r="I4" s="102" t="s">
        <v>311</v>
      </c>
      <c r="J4" s="102" t="s">
        <v>312</v>
      </c>
      <c r="K4" s="102" t="s">
        <v>313</v>
      </c>
      <c r="L4" s="102" t="s">
        <v>314</v>
      </c>
      <c r="M4" s="102" t="s">
        <v>315</v>
      </c>
      <c r="N4" s="102" t="s">
        <v>316</v>
      </c>
      <c r="O4" s="102" t="s">
        <v>317</v>
      </c>
      <c r="P4" s="102" t="s">
        <v>324</v>
      </c>
      <c r="Q4" s="104"/>
      <c r="S4" s="21" t="s">
        <v>306</v>
      </c>
      <c r="T4" s="102" t="s">
        <v>318</v>
      </c>
      <c r="U4" s="102" t="s">
        <v>307</v>
      </c>
      <c r="V4" s="102" t="s">
        <v>308</v>
      </c>
      <c r="W4" s="102" t="s">
        <v>309</v>
      </c>
      <c r="X4" s="102" t="s">
        <v>310</v>
      </c>
      <c r="Y4" s="102" t="s">
        <v>311</v>
      </c>
      <c r="Z4" s="102" t="s">
        <v>312</v>
      </c>
      <c r="AA4" s="102" t="s">
        <v>313</v>
      </c>
      <c r="AB4" s="102" t="s">
        <v>314</v>
      </c>
      <c r="AC4" s="102" t="s">
        <v>315</v>
      </c>
      <c r="AD4" s="102" t="s">
        <v>316</v>
      </c>
      <c r="AE4" s="102" t="s">
        <v>317</v>
      </c>
      <c r="AF4" s="102" t="s">
        <v>324</v>
      </c>
      <c r="AG4" s="104"/>
      <c r="AI4" s="21" t="s">
        <v>306</v>
      </c>
      <c r="AJ4" s="102" t="s">
        <v>318</v>
      </c>
      <c r="AK4" s="102" t="s">
        <v>307</v>
      </c>
      <c r="AL4" s="102" t="s">
        <v>308</v>
      </c>
      <c r="AM4" s="102" t="s">
        <v>309</v>
      </c>
      <c r="AN4" s="102" t="s">
        <v>310</v>
      </c>
      <c r="AO4" s="102" t="s">
        <v>311</v>
      </c>
      <c r="AP4" s="102" t="s">
        <v>312</v>
      </c>
      <c r="AQ4" s="102" t="s">
        <v>313</v>
      </c>
      <c r="AR4" s="102" t="s">
        <v>314</v>
      </c>
      <c r="AS4" s="102" t="s">
        <v>315</v>
      </c>
      <c r="AT4" s="102" t="s">
        <v>316</v>
      </c>
      <c r="AU4" s="102" t="s">
        <v>317</v>
      </c>
      <c r="AV4" s="102" t="s">
        <v>324</v>
      </c>
      <c r="AW4" s="84"/>
    </row>
    <row r="6" spans="1:49">
      <c r="A6" s="23" t="s">
        <v>319</v>
      </c>
      <c r="C6" s="85"/>
      <c r="D6" s="88" t="e">
        <f>'Budget Summary'!#REF!</f>
        <v>#REF!</v>
      </c>
      <c r="E6" s="88" t="e">
        <f>D108</f>
        <v>#REF!</v>
      </c>
      <c r="F6" s="88" t="e">
        <f t="shared" ref="F6:O6" si="0">E108</f>
        <v>#REF!</v>
      </c>
      <c r="G6" s="88" t="e">
        <f t="shared" si="0"/>
        <v>#REF!</v>
      </c>
      <c r="H6" s="88" t="e">
        <f t="shared" si="0"/>
        <v>#REF!</v>
      </c>
      <c r="I6" s="88" t="e">
        <f t="shared" si="0"/>
        <v>#REF!</v>
      </c>
      <c r="J6" s="88" t="e">
        <f t="shared" si="0"/>
        <v>#REF!</v>
      </c>
      <c r="K6" s="88" t="e">
        <f t="shared" si="0"/>
        <v>#REF!</v>
      </c>
      <c r="L6" s="88" t="e">
        <f t="shared" si="0"/>
        <v>#REF!</v>
      </c>
      <c r="M6" s="88" t="e">
        <f t="shared" si="0"/>
        <v>#REF!</v>
      </c>
      <c r="N6" s="88" t="e">
        <f t="shared" si="0"/>
        <v>#REF!</v>
      </c>
      <c r="O6" s="88" t="e">
        <f t="shared" si="0"/>
        <v>#REF!</v>
      </c>
      <c r="P6" s="23"/>
      <c r="S6" s="85"/>
      <c r="T6" s="88" t="e">
        <f>O108</f>
        <v>#REF!</v>
      </c>
      <c r="U6" s="88" t="e">
        <f>T108</f>
        <v>#REF!</v>
      </c>
      <c r="V6" s="88" t="e">
        <f t="shared" ref="V6:AE6" si="1">U108</f>
        <v>#REF!</v>
      </c>
      <c r="W6" s="88" t="e">
        <f t="shared" si="1"/>
        <v>#REF!</v>
      </c>
      <c r="X6" s="88" t="e">
        <f t="shared" si="1"/>
        <v>#REF!</v>
      </c>
      <c r="Y6" s="88" t="e">
        <f t="shared" si="1"/>
        <v>#REF!</v>
      </c>
      <c r="Z6" s="88" t="e">
        <f t="shared" si="1"/>
        <v>#REF!</v>
      </c>
      <c r="AA6" s="88" t="e">
        <f t="shared" si="1"/>
        <v>#REF!</v>
      </c>
      <c r="AB6" s="88" t="e">
        <f t="shared" si="1"/>
        <v>#REF!</v>
      </c>
      <c r="AC6" s="88" t="e">
        <f t="shared" si="1"/>
        <v>#REF!</v>
      </c>
      <c r="AD6" s="88" t="e">
        <f t="shared" si="1"/>
        <v>#REF!</v>
      </c>
      <c r="AE6" s="88" t="e">
        <f t="shared" si="1"/>
        <v>#REF!</v>
      </c>
      <c r="AF6" s="23"/>
      <c r="AI6" s="85"/>
      <c r="AJ6" s="88" t="e">
        <f>AE108</f>
        <v>#REF!</v>
      </c>
      <c r="AK6" s="88" t="e">
        <f>AJ108</f>
        <v>#REF!</v>
      </c>
      <c r="AL6" s="88" t="e">
        <f t="shared" ref="AL6:AU6" si="2">AK108</f>
        <v>#REF!</v>
      </c>
      <c r="AM6" s="88" t="e">
        <f t="shared" si="2"/>
        <v>#REF!</v>
      </c>
      <c r="AN6" s="88" t="e">
        <f t="shared" si="2"/>
        <v>#REF!</v>
      </c>
      <c r="AO6" s="88" t="e">
        <f t="shared" si="2"/>
        <v>#REF!</v>
      </c>
      <c r="AP6" s="88" t="e">
        <f t="shared" si="2"/>
        <v>#REF!</v>
      </c>
      <c r="AQ6" s="88" t="e">
        <f t="shared" si="2"/>
        <v>#REF!</v>
      </c>
      <c r="AR6" s="88" t="e">
        <f t="shared" si="2"/>
        <v>#REF!</v>
      </c>
      <c r="AS6" s="88" t="e">
        <f t="shared" si="2"/>
        <v>#REF!</v>
      </c>
      <c r="AT6" s="88" t="e">
        <f t="shared" si="2"/>
        <v>#REF!</v>
      </c>
      <c r="AU6" s="88" t="e">
        <f t="shared" si="2"/>
        <v>#REF!</v>
      </c>
      <c r="AV6" s="23"/>
    </row>
    <row r="8" spans="1:49">
      <c r="A8" s="23" t="s">
        <v>40</v>
      </c>
    </row>
    <row r="9" spans="1:49" outlineLevel="1">
      <c r="A9" s="23" t="s">
        <v>26</v>
      </c>
    </row>
    <row r="10" spans="1:49" outlineLevel="1">
      <c r="A10" s="23"/>
      <c r="B10" s="24" t="s">
        <v>3</v>
      </c>
      <c r="C10" s="89">
        <f>'Budget Summary'!C6</f>
        <v>2258323.8415999999</v>
      </c>
      <c r="D10" s="89">
        <f>$C10*'Y1 Cash Flow Assumptions'!D10</f>
        <v>0</v>
      </c>
      <c r="E10" s="89">
        <f>$C10*'Y1 Cash Flow Assumptions'!E10</f>
        <v>0</v>
      </c>
      <c r="F10" s="89">
        <f>$C10*'Y1 Cash Flow Assumptions'!F10</f>
        <v>0</v>
      </c>
      <c r="G10" s="89">
        <f>$C10*'Y1 Cash Flow Assumptions'!G10</f>
        <v>835579.82139199995</v>
      </c>
      <c r="H10" s="89">
        <f>$C10*'Y1 Cash Flow Assumptions'!H10</f>
        <v>0</v>
      </c>
      <c r="I10" s="89">
        <f>$C10*'Y1 Cash Flow Assumptions'!I10</f>
        <v>0</v>
      </c>
      <c r="J10" s="90">
        <f>($C10*('Y1 Cash Flow Assumptions'!G10+'Y1 Cash Flow Assumptions'!J10))-SUM(D10:I10)</f>
        <v>406498.29148800019</v>
      </c>
      <c r="K10" s="89">
        <f>($C10-SUM($D10:$J10))*'Y1 Cash Flow Assumptions'!K10</f>
        <v>0</v>
      </c>
      <c r="L10" s="89">
        <f>($C10-SUM($D10:$J10))*'Y1 Cash Flow Assumptions'!L10</f>
        <v>203249.14574399998</v>
      </c>
      <c r="M10" s="89">
        <f>($C10-SUM($D10:$J10))*'Y1 Cash Flow Assumptions'!M10</f>
        <v>203249.14574399998</v>
      </c>
      <c r="N10" s="89">
        <f>($C10-SUM($D10:$J10))*'Y1 Cash Flow Assumptions'!N10</f>
        <v>203249.14574399998</v>
      </c>
      <c r="O10" s="89">
        <f>($C10-SUM($D10:$J10))*'Y1 Cash Flow Assumptions'!O10</f>
        <v>203249.14574399998</v>
      </c>
      <c r="P10" s="89">
        <f>($C10-SUM($D10:$J10))*'Y1 Cash Flow Assumptions'!P10</f>
        <v>203249.14574399998</v>
      </c>
      <c r="S10" s="89">
        <f>'Budget Summary'!D6</f>
        <v>2446046.6982</v>
      </c>
      <c r="T10" s="89">
        <f>$C10*'Y2_3 Cash Flow Assumptions'!D10</f>
        <v>0</v>
      </c>
      <c r="U10" s="89">
        <f>$C10*'Y2_3 Cash Flow Assumptions'!E10</f>
        <v>112916.19208000001</v>
      </c>
      <c r="V10" s="89">
        <f>$C10*'Y2_3 Cash Flow Assumptions'!F10</f>
        <v>112916.19208000001</v>
      </c>
      <c r="W10" s="89">
        <f>$C10*'Y2_3 Cash Flow Assumptions'!G10</f>
        <v>203249.14574399998</v>
      </c>
      <c r="X10" s="89">
        <f>$C10*'Y2_3 Cash Flow Assumptions'!H10</f>
        <v>203249.14574399998</v>
      </c>
      <c r="Y10" s="89">
        <f>$C10*'Y2_3 Cash Flow Assumptions'!I10</f>
        <v>203249.14574399998</v>
      </c>
      <c r="Z10" s="89">
        <f>$C10*'Y2_3 Cash Flow Assumptions'!J10</f>
        <v>203249.14574399998</v>
      </c>
      <c r="AA10" s="89">
        <f>$C10*'Y2_3 Cash Flow Assumptions'!K10</f>
        <v>203249.14574399998</v>
      </c>
      <c r="AB10" s="89">
        <f>($S10-SUM($T10:$AA10))*'Y2_3 Cash Flow Assumptions'!L10</f>
        <v>240793.71706400003</v>
      </c>
      <c r="AC10" s="89">
        <f>($S10-SUM($T10:$AA10))*'Y2_3 Cash Flow Assumptions'!M10</f>
        <v>240793.71706400003</v>
      </c>
      <c r="AD10" s="89">
        <f>($S10-SUM($T10:$AA10))*'Y2_3 Cash Flow Assumptions'!N10</f>
        <v>240793.71706400003</v>
      </c>
      <c r="AE10" s="89">
        <f>($S10-SUM($T10:$AA10))*'Y2_3 Cash Flow Assumptions'!O10</f>
        <v>240793.71706400003</v>
      </c>
      <c r="AF10" s="89">
        <f>($S10-SUM($T10:$AA10))*'Y2_3 Cash Flow Assumptions'!P10</f>
        <v>240793.71706400003</v>
      </c>
      <c r="AI10" s="89">
        <f>'Budget Summary'!E6</f>
        <v>2690299.35</v>
      </c>
      <c r="AJ10" s="89">
        <f>$S10*'Y2_3 Cash Flow Assumptions'!D10</f>
        <v>0</v>
      </c>
      <c r="AK10" s="89">
        <f>$S10*'Y2_3 Cash Flow Assumptions'!E10</f>
        <v>122302.33491000001</v>
      </c>
      <c r="AL10" s="89">
        <f>$S10*'Y2_3 Cash Flow Assumptions'!F10</f>
        <v>122302.33491000001</v>
      </c>
      <c r="AM10" s="89">
        <f>$S10*'Y2_3 Cash Flow Assumptions'!G10</f>
        <v>220144.202838</v>
      </c>
      <c r="AN10" s="89">
        <f>$S10*'Y2_3 Cash Flow Assumptions'!H10</f>
        <v>220144.202838</v>
      </c>
      <c r="AO10" s="89">
        <f>$S10*'Y2_3 Cash Flow Assumptions'!I10</f>
        <v>220144.202838</v>
      </c>
      <c r="AP10" s="89">
        <f>$S10*'Y2_3 Cash Flow Assumptions'!J10</f>
        <v>220144.202838</v>
      </c>
      <c r="AQ10" s="89">
        <f>$S10*'Y2_3 Cash Flow Assumptions'!K10</f>
        <v>220144.202838</v>
      </c>
      <c r="AR10" s="90">
        <f>'Y2_3 Cash Flow Assumptions'!L10*('Cash Flow Summary'!$AI10-SUM('Cash Flow Summary'!$AJ10:$AQ10))</f>
        <v>268994.73319800006</v>
      </c>
      <c r="AS10" s="90">
        <f>'Y2_3 Cash Flow Assumptions'!M10*('Cash Flow Summary'!$AI10-SUM('Cash Flow Summary'!$AJ10:$AQ10))</f>
        <v>268994.73319800006</v>
      </c>
      <c r="AT10" s="90">
        <f>'Y2_3 Cash Flow Assumptions'!N10*('Cash Flow Summary'!$AI10-SUM('Cash Flow Summary'!$AJ10:$AQ10))</f>
        <v>268994.73319800006</v>
      </c>
      <c r="AU10" s="90">
        <f>'Y2_3 Cash Flow Assumptions'!O10*('Cash Flow Summary'!$AI10-SUM('Cash Flow Summary'!$AJ10:$AQ10))</f>
        <v>268994.73319800006</v>
      </c>
      <c r="AV10" s="90">
        <f>'Y2_3 Cash Flow Assumptions'!P10*('Cash Flow Summary'!$AI10-SUM('Cash Flow Summary'!$AJ10:$AQ10))</f>
        <v>268994.73319800006</v>
      </c>
    </row>
    <row r="11" spans="1:49" outlineLevel="1">
      <c r="A11" s="23"/>
      <c r="B11" s="24" t="s">
        <v>4</v>
      </c>
      <c r="C11" s="89">
        <f>'Budget Summary'!C7</f>
        <v>72000</v>
      </c>
      <c r="D11" s="89">
        <f>$C11*'Y1 Cash Flow Assumptions'!D11</f>
        <v>0</v>
      </c>
      <c r="E11" s="89">
        <f>$C11*'Y1 Cash Flow Assumptions'!E11</f>
        <v>0</v>
      </c>
      <c r="F11" s="89">
        <f>$C11*'Y1 Cash Flow Assumptions'!F11</f>
        <v>0</v>
      </c>
      <c r="G11" s="89">
        <f>$C11*'Y1 Cash Flow Assumptions'!G11</f>
        <v>18000</v>
      </c>
      <c r="H11" s="89">
        <f>$C11*'Y1 Cash Flow Assumptions'!H11</f>
        <v>0</v>
      </c>
      <c r="I11" s="89">
        <f>$C11*'Y1 Cash Flow Assumptions'!I11</f>
        <v>0</v>
      </c>
      <c r="J11" s="89">
        <f>$C11*'Y1 Cash Flow Assumptions'!J11</f>
        <v>18000</v>
      </c>
      <c r="K11" s="89">
        <f>$C11*'Y1 Cash Flow Assumptions'!K11</f>
        <v>0</v>
      </c>
      <c r="L11" s="89">
        <f>$C11*'Y1 Cash Flow Assumptions'!L11</f>
        <v>0</v>
      </c>
      <c r="M11" s="89">
        <f>$C11*'Y1 Cash Flow Assumptions'!M11</f>
        <v>18000</v>
      </c>
      <c r="N11" s="89">
        <f>$C11*'Y1 Cash Flow Assumptions'!N11</f>
        <v>0</v>
      </c>
      <c r="O11" s="89">
        <f>$C11*'Y1 Cash Flow Assumptions'!O11</f>
        <v>0</v>
      </c>
      <c r="P11" s="89">
        <f>$C11*'Y1 Cash Flow Assumptions'!P11</f>
        <v>18000</v>
      </c>
      <c r="S11" s="89">
        <f>'Budget Summary'!D7</f>
        <v>76500</v>
      </c>
      <c r="T11" s="89">
        <f>$C11*'Y2_3 Cash Flow Assumptions'!D11</f>
        <v>0</v>
      </c>
      <c r="U11" s="89">
        <f>$C11*'Y2_3 Cash Flow Assumptions'!E11</f>
        <v>0</v>
      </c>
      <c r="V11" s="89">
        <f>$C11*'Y2_3 Cash Flow Assumptions'!F11</f>
        <v>0</v>
      </c>
      <c r="W11" s="89">
        <f>$C11*'Y2_3 Cash Flow Assumptions'!G11</f>
        <v>18000</v>
      </c>
      <c r="X11" s="89">
        <f>$C11*'Y2_3 Cash Flow Assumptions'!H11</f>
        <v>0</v>
      </c>
      <c r="Y11" s="89">
        <f>$C11*'Y2_3 Cash Flow Assumptions'!I11</f>
        <v>0</v>
      </c>
      <c r="Z11" s="89">
        <f>$C11*'Y2_3 Cash Flow Assumptions'!J11</f>
        <v>18000</v>
      </c>
      <c r="AA11" s="89">
        <f>$C11*'Y2_3 Cash Flow Assumptions'!K11</f>
        <v>0</v>
      </c>
      <c r="AB11" s="90">
        <f>$S11*'Y2_3 Cash Flow Assumptions'!L11</f>
        <v>0</v>
      </c>
      <c r="AC11" s="90">
        <f>(SUM('Y2_3 Cash Flow Assumptions'!$D11:M11)*'Cash Flow Summary'!$S11)-SUM('Cash Flow Summary'!$T11:$AB11)</f>
        <v>21375</v>
      </c>
      <c r="AD11" s="90">
        <f>$S11*'Y2_3 Cash Flow Assumptions'!N11</f>
        <v>0</v>
      </c>
      <c r="AE11" s="90">
        <f>$S11*'Y2_3 Cash Flow Assumptions'!O11</f>
        <v>0</v>
      </c>
      <c r="AF11" s="90">
        <f>'Y2_3 Cash Flow Assumptions'!P11*'Cash Flow Summary'!$S11</f>
        <v>19125</v>
      </c>
      <c r="AI11" s="89">
        <f>'Budget Summary'!E7</f>
        <v>81000</v>
      </c>
      <c r="AJ11" s="89">
        <f>$S11*'Y2_3 Cash Flow Assumptions'!D11</f>
        <v>0</v>
      </c>
      <c r="AK11" s="89">
        <f>$S11*'Y2_3 Cash Flow Assumptions'!E11</f>
        <v>0</v>
      </c>
      <c r="AL11" s="89">
        <f>$S11*'Y2_3 Cash Flow Assumptions'!F11</f>
        <v>0</v>
      </c>
      <c r="AM11" s="89">
        <f>$S11*'Y2_3 Cash Flow Assumptions'!G11</f>
        <v>19125</v>
      </c>
      <c r="AN11" s="89">
        <f>$S11*'Y2_3 Cash Flow Assumptions'!H11</f>
        <v>0</v>
      </c>
      <c r="AO11" s="89">
        <f>$S11*'Y2_3 Cash Flow Assumptions'!I11</f>
        <v>0</v>
      </c>
      <c r="AP11" s="89">
        <f>$S11*'Y2_3 Cash Flow Assumptions'!J11</f>
        <v>19125</v>
      </c>
      <c r="AQ11" s="89">
        <f>$S11*'Y2_3 Cash Flow Assumptions'!K11</f>
        <v>0</v>
      </c>
      <c r="AR11" s="89">
        <f>$S11*'Y2_3 Cash Flow Assumptions'!L11</f>
        <v>0</v>
      </c>
      <c r="AS11" s="90">
        <f>(SUM('Y2_3 Cash Flow Assumptions'!$D11:M11)*'Cash Flow Summary'!$AI11)-SUM('Cash Flow Summary'!$AJ11:$AR11)</f>
        <v>22500</v>
      </c>
      <c r="AT11" s="90">
        <f>$AI11*'Y2_3 Cash Flow Assumptions'!N11</f>
        <v>0</v>
      </c>
      <c r="AU11" s="90">
        <f>$AI11*'Y2_3 Cash Flow Assumptions'!O11</f>
        <v>0</v>
      </c>
      <c r="AV11" s="90">
        <f>$AI11*'Y2_3 Cash Flow Assumptions'!P11</f>
        <v>20250</v>
      </c>
    </row>
    <row r="12" spans="1:49" outlineLevel="1">
      <c r="A12" s="23"/>
      <c r="B12" s="24" t="s">
        <v>5</v>
      </c>
      <c r="C12" s="89">
        <f>'Budget Summary'!C8</f>
        <v>661150.80000000005</v>
      </c>
      <c r="D12" s="89">
        <f>$C12*'Y1 Cash Flow Assumptions'!D12</f>
        <v>0</v>
      </c>
      <c r="E12" s="89">
        <f>$C12*'Y1 Cash Flow Assumptions'!E12</f>
        <v>0</v>
      </c>
      <c r="F12" s="89">
        <f>$C12*'Y1 Cash Flow Assumptions'!F12</f>
        <v>0</v>
      </c>
      <c r="G12" s="89">
        <f>$C12*'Y1 Cash Flow Assumptions'!G12</f>
        <v>171899.20800000001</v>
      </c>
      <c r="H12" s="89">
        <f>$C12*'Y1 Cash Flow Assumptions'!H12</f>
        <v>52892.064000000006</v>
      </c>
      <c r="I12" s="89">
        <f>$C12*'Y1 Cash Flow Assumptions'!I12</f>
        <v>52892.064000000006</v>
      </c>
      <c r="J12" s="89">
        <f>$C12*'Y1 Cash Flow Assumptions'!J12</f>
        <v>52892.064000000006</v>
      </c>
      <c r="K12" s="89">
        <f>$C12*'Y1 Cash Flow Assumptions'!K12</f>
        <v>52892.064000000006</v>
      </c>
      <c r="L12" s="89">
        <f>($C12-SUM($D12:$K12))*'Y1 Cash Flow Assumptions'!L12</f>
        <v>92561.111999999994</v>
      </c>
      <c r="M12" s="89">
        <f>($C12-SUM($D12:$K12))*'Y1 Cash Flow Assumptions'!M12</f>
        <v>46280.555999999997</v>
      </c>
      <c r="N12" s="89">
        <f>($C12-SUM($D12:$K12))*'Y1 Cash Flow Assumptions'!N12</f>
        <v>46280.555999999997</v>
      </c>
      <c r="O12" s="89">
        <f>($C12-SUM($D12:$K12))*'Y1 Cash Flow Assumptions'!O12</f>
        <v>46280.555999999997</v>
      </c>
      <c r="P12" s="89">
        <f>($C12-SUM($D12:$K12))*'Y1 Cash Flow Assumptions'!P12</f>
        <v>46280.555999999997</v>
      </c>
      <c r="S12" s="89">
        <f>'Budget Summary'!D8</f>
        <v>702472.72499999998</v>
      </c>
      <c r="T12" s="89">
        <f>$C12*'Y2_3 Cash Flow Assumptions'!D12</f>
        <v>0</v>
      </c>
      <c r="U12" s="89">
        <f>$C12*'Y2_3 Cash Flow Assumptions'!E12</f>
        <v>39669.048000000003</v>
      </c>
      <c r="V12" s="89">
        <f>$C12*'Y2_3 Cash Flow Assumptions'!F12</f>
        <v>79338.096000000005</v>
      </c>
      <c r="W12" s="89">
        <f>$C12*'Y2_3 Cash Flow Assumptions'!G12</f>
        <v>52892.064000000006</v>
      </c>
      <c r="X12" s="89">
        <f>$C12*'Y2_3 Cash Flow Assumptions'!H12</f>
        <v>52892.064000000006</v>
      </c>
      <c r="Y12" s="89">
        <f>$C12*'Y2_3 Cash Flow Assumptions'!I12</f>
        <v>52892.064000000006</v>
      </c>
      <c r="Z12" s="89">
        <f>$C12*'Y2_3 Cash Flow Assumptions'!J12</f>
        <v>52892.064000000006</v>
      </c>
      <c r="AA12" s="89">
        <f>$C12*'Y2_3 Cash Flow Assumptions'!K12</f>
        <v>52892.064000000006</v>
      </c>
      <c r="AB12" s="90">
        <f>'Y2_3 Cash Flow Assumptions'!L12*('Cash Flow Summary'!$S12-SUM('Cash Flow Summary'!$T12:$AA12))</f>
        <v>106335.08699999997</v>
      </c>
      <c r="AC12" s="90">
        <f>'Y2_3 Cash Flow Assumptions'!M12*('Cash Flow Summary'!$S12-SUM('Cash Flow Summary'!$T12:$AA12))</f>
        <v>53167.543499999985</v>
      </c>
      <c r="AD12" s="90">
        <f>'Y2_3 Cash Flow Assumptions'!N12*('Cash Flow Summary'!$S12-SUM('Cash Flow Summary'!$T12:$AA12))</f>
        <v>53167.543499999985</v>
      </c>
      <c r="AE12" s="90">
        <f>'Y2_3 Cash Flow Assumptions'!O12*('Cash Flow Summary'!$S12-SUM('Cash Flow Summary'!$T12:$AA12))</f>
        <v>53167.543499999985</v>
      </c>
      <c r="AF12" s="90">
        <f>'Y2_3 Cash Flow Assumptions'!P12*('Cash Flow Summary'!$S12-SUM('Cash Flow Summary'!$T12:$AA12))</f>
        <v>53167.543499999985</v>
      </c>
      <c r="AI12" s="89">
        <f>'Budget Summary'!E8</f>
        <v>743794.65</v>
      </c>
      <c r="AJ12" s="89">
        <f>$S12*'Y2_3 Cash Flow Assumptions'!D12</f>
        <v>0</v>
      </c>
      <c r="AK12" s="89">
        <f>$S12*'Y2_3 Cash Flow Assumptions'!E12</f>
        <v>42148.363499999999</v>
      </c>
      <c r="AL12" s="89">
        <f>$S12*'Y2_3 Cash Flow Assumptions'!F12</f>
        <v>84296.726999999999</v>
      </c>
      <c r="AM12" s="89">
        <f>$S12*'Y2_3 Cash Flow Assumptions'!G12</f>
        <v>56197.817999999999</v>
      </c>
      <c r="AN12" s="89">
        <f>$S12*'Y2_3 Cash Flow Assumptions'!H12</f>
        <v>56197.817999999999</v>
      </c>
      <c r="AO12" s="89">
        <f>$S12*'Y2_3 Cash Flow Assumptions'!I12</f>
        <v>56197.817999999999</v>
      </c>
      <c r="AP12" s="89">
        <f>$S12*'Y2_3 Cash Flow Assumptions'!J12</f>
        <v>56197.817999999999</v>
      </c>
      <c r="AQ12" s="89">
        <f>$S12*'Y2_3 Cash Flow Assumptions'!K12</f>
        <v>56197.817999999999</v>
      </c>
      <c r="AR12" s="90">
        <f>'Y2_3 Cash Flow Assumptions'!L12*('Cash Flow Summary'!$AI12-SUM('Cash Flow Summary'!$AJ12:$AQ12))</f>
        <v>112120.15650000004</v>
      </c>
      <c r="AS12" s="90">
        <f>'Y2_3 Cash Flow Assumptions'!M12*('Cash Flow Summary'!$AI12-SUM('Cash Flow Summary'!$AJ12:$AQ12))</f>
        <v>56060.07825000002</v>
      </c>
      <c r="AT12" s="90">
        <f>'Y2_3 Cash Flow Assumptions'!N12*('Cash Flow Summary'!$AI12-SUM('Cash Flow Summary'!$AJ12:$AQ12))</f>
        <v>56060.07825000002</v>
      </c>
      <c r="AU12" s="90">
        <f>'Y2_3 Cash Flow Assumptions'!O12*('Cash Flow Summary'!$AI12-SUM('Cash Flow Summary'!$AJ12:$AQ12))</f>
        <v>56060.07825000002</v>
      </c>
      <c r="AV12" s="90">
        <f>'Y2_3 Cash Flow Assumptions'!P12*('Cash Flow Summary'!$AI12-SUM('Cash Flow Summary'!$AJ12:$AQ12))</f>
        <v>56060.07825000002</v>
      </c>
    </row>
    <row r="13" spans="1:49" s="23" customFormat="1">
      <c r="A13" s="23" t="s">
        <v>26</v>
      </c>
      <c r="C13" s="88">
        <f>SUM(C10:C12)</f>
        <v>2991474.6415999997</v>
      </c>
      <c r="D13" s="88">
        <f t="shared" ref="D13:P13" si="3">SUM(D10:D12)</f>
        <v>0</v>
      </c>
      <c r="E13" s="88">
        <f t="shared" si="3"/>
        <v>0</v>
      </c>
      <c r="F13" s="88">
        <f t="shared" si="3"/>
        <v>0</v>
      </c>
      <c r="G13" s="88">
        <f t="shared" si="3"/>
        <v>1025479.0293919999</v>
      </c>
      <c r="H13" s="88">
        <f t="shared" si="3"/>
        <v>52892.064000000006</v>
      </c>
      <c r="I13" s="88">
        <f t="shared" si="3"/>
        <v>52892.064000000006</v>
      </c>
      <c r="J13" s="88">
        <f t="shared" si="3"/>
        <v>477390.3554880002</v>
      </c>
      <c r="K13" s="88">
        <f t="shared" si="3"/>
        <v>52892.064000000006</v>
      </c>
      <c r="L13" s="88">
        <f t="shared" si="3"/>
        <v>295810.25774399994</v>
      </c>
      <c r="M13" s="88">
        <f t="shared" si="3"/>
        <v>267529.70174399996</v>
      </c>
      <c r="N13" s="88">
        <f t="shared" si="3"/>
        <v>249529.70174399996</v>
      </c>
      <c r="O13" s="88">
        <f t="shared" si="3"/>
        <v>249529.70174399996</v>
      </c>
      <c r="P13" s="88">
        <f t="shared" si="3"/>
        <v>267529.70174399996</v>
      </c>
      <c r="Q13" s="103"/>
      <c r="S13" s="88">
        <f>SUM(S10:S12)</f>
        <v>3225019.4232000001</v>
      </c>
      <c r="T13" s="88">
        <f t="shared" ref="T13:AF13" si="4">SUM(T10:T12)</f>
        <v>0</v>
      </c>
      <c r="U13" s="88">
        <f t="shared" si="4"/>
        <v>152585.24008000002</v>
      </c>
      <c r="V13" s="88">
        <f t="shared" si="4"/>
        <v>192254.28808000003</v>
      </c>
      <c r="W13" s="88">
        <f t="shared" si="4"/>
        <v>274141.20974399999</v>
      </c>
      <c r="X13" s="88">
        <f t="shared" si="4"/>
        <v>256141.20974399999</v>
      </c>
      <c r="Y13" s="88">
        <f t="shared" si="4"/>
        <v>256141.20974399999</v>
      </c>
      <c r="Z13" s="88">
        <f t="shared" si="4"/>
        <v>274141.20974399999</v>
      </c>
      <c r="AA13" s="88">
        <f t="shared" si="4"/>
        <v>256141.20974399999</v>
      </c>
      <c r="AB13" s="88">
        <f t="shared" si="4"/>
        <v>347128.80406400003</v>
      </c>
      <c r="AC13" s="88">
        <f t="shared" si="4"/>
        <v>315336.260564</v>
      </c>
      <c r="AD13" s="88">
        <f t="shared" si="4"/>
        <v>293961.260564</v>
      </c>
      <c r="AE13" s="88">
        <f t="shared" si="4"/>
        <v>293961.260564</v>
      </c>
      <c r="AF13" s="88">
        <f t="shared" si="4"/>
        <v>313086.260564</v>
      </c>
      <c r="AG13" s="103"/>
      <c r="AI13" s="88">
        <f>SUM(AI10:AI12)</f>
        <v>3515094</v>
      </c>
      <c r="AJ13" s="88">
        <f t="shared" ref="AJ13:AV13" si="5">SUM(AJ10:AJ12)</f>
        <v>0</v>
      </c>
      <c r="AK13" s="88">
        <f t="shared" si="5"/>
        <v>164450.69841000001</v>
      </c>
      <c r="AL13" s="88">
        <f t="shared" si="5"/>
        <v>206599.06190999999</v>
      </c>
      <c r="AM13" s="88">
        <f t="shared" si="5"/>
        <v>295467.020838</v>
      </c>
      <c r="AN13" s="88">
        <f t="shared" si="5"/>
        <v>276342.020838</v>
      </c>
      <c r="AO13" s="88">
        <f t="shared" si="5"/>
        <v>276342.020838</v>
      </c>
      <c r="AP13" s="88">
        <f t="shared" si="5"/>
        <v>295467.020838</v>
      </c>
      <c r="AQ13" s="88">
        <f t="shared" si="5"/>
        <v>276342.020838</v>
      </c>
      <c r="AR13" s="88">
        <f t="shared" si="5"/>
        <v>381114.8896980001</v>
      </c>
      <c r="AS13" s="88">
        <f t="shared" si="5"/>
        <v>347554.81144800008</v>
      </c>
      <c r="AT13" s="88">
        <f t="shared" si="5"/>
        <v>325054.81144800008</v>
      </c>
      <c r="AU13" s="88">
        <f t="shared" si="5"/>
        <v>325054.81144800008</v>
      </c>
      <c r="AV13" s="88">
        <f t="shared" si="5"/>
        <v>345304.81144800008</v>
      </c>
      <c r="AW13" s="83"/>
    </row>
    <row r="14" spans="1:49" outlineLevel="1">
      <c r="A14" s="23" t="s">
        <v>27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</row>
    <row r="15" spans="1:49" outlineLevel="1">
      <c r="A15" s="23"/>
      <c r="B15" s="24" t="s">
        <v>29</v>
      </c>
      <c r="C15" s="89">
        <f>'Budget Summary'!C11</f>
        <v>0</v>
      </c>
      <c r="D15" s="89">
        <f>$C15*'Y1 Cash Flow Assumptions'!D15</f>
        <v>0</v>
      </c>
      <c r="E15" s="89">
        <f>$C15*'Y1 Cash Flow Assumptions'!E15</f>
        <v>0</v>
      </c>
      <c r="F15" s="89">
        <f>$C15*'Y1 Cash Flow Assumptions'!F15</f>
        <v>0</v>
      </c>
      <c r="G15" s="89">
        <f>$C15*'Y1 Cash Flow Assumptions'!G15</f>
        <v>0</v>
      </c>
      <c r="H15" s="89">
        <f>$C15*'Y1 Cash Flow Assumptions'!H15</f>
        <v>0</v>
      </c>
      <c r="I15" s="89">
        <f>$C15*'Y1 Cash Flow Assumptions'!I15</f>
        <v>0</v>
      </c>
      <c r="J15" s="90">
        <f>($C15*('Y1 Cash Flow Assumptions'!G15+'Y1 Cash Flow Assumptions'!J15))-SUM(D15:I15)</f>
        <v>0</v>
      </c>
      <c r="K15" s="89">
        <f>($C15-SUM($D15:$J15))*'Y1 Cash Flow Assumptions'!K15</f>
        <v>0</v>
      </c>
      <c r="L15" s="89">
        <f>($C15-SUM($D15:$J15))*'Y1 Cash Flow Assumptions'!L15</f>
        <v>0</v>
      </c>
      <c r="M15" s="89">
        <f>($C15-SUM($D15:$J15))*'Y1 Cash Flow Assumptions'!M15</f>
        <v>0</v>
      </c>
      <c r="N15" s="89">
        <f>($C15-SUM($D15:$J15))*'Y1 Cash Flow Assumptions'!N15</f>
        <v>0</v>
      </c>
      <c r="O15" s="89">
        <f>($C15-SUM($D15:$J15))*'Y1 Cash Flow Assumptions'!O15</f>
        <v>0</v>
      </c>
      <c r="P15" s="89">
        <f>($C15-SUM($D15:$J15))*'Y1 Cash Flow Assumptions'!P15</f>
        <v>0</v>
      </c>
      <c r="S15" s="89">
        <f>'Budget Summary'!D11</f>
        <v>0</v>
      </c>
      <c r="T15" s="89">
        <f>$C15*'Y2_3 Cash Flow Assumptions'!D15</f>
        <v>0</v>
      </c>
      <c r="U15" s="89">
        <f>$C15*'Y2_3 Cash Flow Assumptions'!E15</f>
        <v>0</v>
      </c>
      <c r="V15" s="89">
        <f>$C15*'Y2_3 Cash Flow Assumptions'!F15</f>
        <v>0</v>
      </c>
      <c r="W15" s="89">
        <f>$C15*'Y2_3 Cash Flow Assumptions'!G15</f>
        <v>0</v>
      </c>
      <c r="X15" s="89">
        <f>$C15*'Y2_3 Cash Flow Assumptions'!H15</f>
        <v>0</v>
      </c>
      <c r="Y15" s="89">
        <f>$C15*'Y2_3 Cash Flow Assumptions'!I15</f>
        <v>0</v>
      </c>
      <c r="Z15" s="89">
        <f>$C15*'Y2_3 Cash Flow Assumptions'!J15</f>
        <v>0</v>
      </c>
      <c r="AA15" s="89">
        <f>$C15*'Y2_3 Cash Flow Assumptions'!K15</f>
        <v>0</v>
      </c>
      <c r="AB15" s="89">
        <f>($S15-SUM($T15:$AA15))*'Y2_3 Cash Flow Assumptions'!L15</f>
        <v>0</v>
      </c>
      <c r="AC15" s="89">
        <f>($S15-SUM($T15:$AA15))*'Y2_3 Cash Flow Assumptions'!M15</f>
        <v>0</v>
      </c>
      <c r="AD15" s="89">
        <f>($S15-SUM($T15:$AA15))*'Y2_3 Cash Flow Assumptions'!N15</f>
        <v>0</v>
      </c>
      <c r="AE15" s="89">
        <f>($S15-SUM($T15:$AA15))*'Y2_3 Cash Flow Assumptions'!O15</f>
        <v>0</v>
      </c>
      <c r="AF15" s="89">
        <f>($S15-SUM($T15:$AA15))*'Y2_3 Cash Flow Assumptions'!P15</f>
        <v>0</v>
      </c>
      <c r="AI15" s="89">
        <f>'Budget Summary'!E11</f>
        <v>0</v>
      </c>
      <c r="AJ15" s="89">
        <f>$S15*'Y2_3 Cash Flow Assumptions'!D15</f>
        <v>0</v>
      </c>
      <c r="AK15" s="89">
        <f>$S15*'Y2_3 Cash Flow Assumptions'!E15</f>
        <v>0</v>
      </c>
      <c r="AL15" s="89">
        <f>$S15*'Y2_3 Cash Flow Assumptions'!F15</f>
        <v>0</v>
      </c>
      <c r="AM15" s="89">
        <f>$S15*'Y2_3 Cash Flow Assumptions'!G15</f>
        <v>0</v>
      </c>
      <c r="AN15" s="89">
        <f>$S15*'Y2_3 Cash Flow Assumptions'!H15</f>
        <v>0</v>
      </c>
      <c r="AO15" s="89">
        <f>$S15*'Y2_3 Cash Flow Assumptions'!I15</f>
        <v>0</v>
      </c>
      <c r="AP15" s="89">
        <f>$S15*'Y2_3 Cash Flow Assumptions'!J15</f>
        <v>0</v>
      </c>
      <c r="AQ15" s="89">
        <f>$S15*'Y2_3 Cash Flow Assumptions'!K15</f>
        <v>0</v>
      </c>
      <c r="AR15" s="90">
        <f>'Y2_3 Cash Flow Assumptions'!L15*('Cash Flow Summary'!$AI15-SUM('Cash Flow Summary'!$AJ15:$AQ15))</f>
        <v>0</v>
      </c>
      <c r="AS15" s="90">
        <f>'Y2_3 Cash Flow Assumptions'!M15*('Cash Flow Summary'!$AI15-SUM('Cash Flow Summary'!$AJ15:$AQ15))</f>
        <v>0</v>
      </c>
      <c r="AT15" s="90">
        <f>'Y2_3 Cash Flow Assumptions'!N15*('Cash Flow Summary'!$AI15-SUM('Cash Flow Summary'!$AJ15:$AQ15))</f>
        <v>0</v>
      </c>
      <c r="AU15" s="90">
        <f>'Y2_3 Cash Flow Assumptions'!O15*('Cash Flow Summary'!$AI15-SUM('Cash Flow Summary'!$AJ15:$AQ15))</f>
        <v>0</v>
      </c>
      <c r="AV15" s="90">
        <f>'Y2_3 Cash Flow Assumptions'!P15*('Cash Flow Summary'!$AI15-SUM('Cash Flow Summary'!$AJ15:$AQ15))</f>
        <v>0</v>
      </c>
    </row>
    <row r="16" spans="1:49" outlineLevel="1">
      <c r="A16" s="23"/>
      <c r="B16" s="24" t="s">
        <v>30</v>
      </c>
      <c r="C16" s="89">
        <f>'Budget Summary'!C12</f>
        <v>0</v>
      </c>
      <c r="D16" s="89">
        <f>$C16*'Y1 Cash Flow Assumptions'!D16</f>
        <v>0</v>
      </c>
      <c r="E16" s="89">
        <f>$C16*'Y1 Cash Flow Assumptions'!E16</f>
        <v>0</v>
      </c>
      <c r="F16" s="89">
        <f>$C16*'Y1 Cash Flow Assumptions'!F16</f>
        <v>0</v>
      </c>
      <c r="G16" s="89">
        <f>$C16*'Y1 Cash Flow Assumptions'!G16</f>
        <v>0</v>
      </c>
      <c r="H16" s="89">
        <f>$C16*'Y1 Cash Flow Assumptions'!H16</f>
        <v>0</v>
      </c>
      <c r="I16" s="89">
        <f>$C16*'Y1 Cash Flow Assumptions'!I16</f>
        <v>0</v>
      </c>
      <c r="J16" s="89">
        <f>$C16*'Y1 Cash Flow Assumptions'!J16</f>
        <v>0</v>
      </c>
      <c r="K16" s="89">
        <f>$C16*'Y1 Cash Flow Assumptions'!K16</f>
        <v>0</v>
      </c>
      <c r="L16" s="89">
        <f>$C16*'Y1 Cash Flow Assumptions'!L16</f>
        <v>0</v>
      </c>
      <c r="M16" s="89">
        <f>$C16*'Y1 Cash Flow Assumptions'!M16</f>
        <v>0</v>
      </c>
      <c r="N16" s="89">
        <f>$C16*'Y1 Cash Flow Assumptions'!N16</f>
        <v>0</v>
      </c>
      <c r="O16" s="89">
        <f>$C16*'Y1 Cash Flow Assumptions'!O16</f>
        <v>0</v>
      </c>
      <c r="P16" s="89">
        <f>$C16*'Y1 Cash Flow Assumptions'!P16</f>
        <v>0</v>
      </c>
      <c r="S16" s="89">
        <f>'Budget Summary'!D12</f>
        <v>0</v>
      </c>
      <c r="T16" s="89">
        <f>$S16*'Y2_3 Cash Flow Assumptions'!D16</f>
        <v>0</v>
      </c>
      <c r="U16" s="89">
        <f>$S16*'Y2_3 Cash Flow Assumptions'!E16</f>
        <v>0</v>
      </c>
      <c r="V16" s="89">
        <f>$S16*'Y2_3 Cash Flow Assumptions'!F16</f>
        <v>0</v>
      </c>
      <c r="W16" s="89">
        <f>$S16*'Y2_3 Cash Flow Assumptions'!G16</f>
        <v>0</v>
      </c>
      <c r="X16" s="89">
        <f>$S16*'Y2_3 Cash Flow Assumptions'!H16</f>
        <v>0</v>
      </c>
      <c r="Y16" s="89">
        <f>$S16*'Y2_3 Cash Flow Assumptions'!I16</f>
        <v>0</v>
      </c>
      <c r="Z16" s="89">
        <f>$S16*'Y2_3 Cash Flow Assumptions'!J16</f>
        <v>0</v>
      </c>
      <c r="AA16" s="89">
        <f>$S16*'Y2_3 Cash Flow Assumptions'!K16</f>
        <v>0</v>
      </c>
      <c r="AB16" s="89">
        <f>$S16*'Y2_3 Cash Flow Assumptions'!L16</f>
        <v>0</v>
      </c>
      <c r="AC16" s="89">
        <f>$S16*'Y2_3 Cash Flow Assumptions'!M16</f>
        <v>0</v>
      </c>
      <c r="AD16" s="89">
        <f>$S16*'Y2_3 Cash Flow Assumptions'!N16</f>
        <v>0</v>
      </c>
      <c r="AE16" s="89">
        <f>$S16*'Y2_3 Cash Flow Assumptions'!O16</f>
        <v>0</v>
      </c>
      <c r="AF16" s="89">
        <f>$S16*'Y2_3 Cash Flow Assumptions'!P16</f>
        <v>0</v>
      </c>
      <c r="AI16" s="89">
        <f>'Budget Summary'!E12</f>
        <v>0</v>
      </c>
      <c r="AJ16" s="89">
        <f>$AI16*'Y2_3 Cash Flow Assumptions'!D16</f>
        <v>0</v>
      </c>
      <c r="AK16" s="89">
        <f>$AI16*'Y2_3 Cash Flow Assumptions'!E16</f>
        <v>0</v>
      </c>
      <c r="AL16" s="89">
        <f>$AI16*'Y2_3 Cash Flow Assumptions'!F16</f>
        <v>0</v>
      </c>
      <c r="AM16" s="89">
        <f>$AI16*'Y2_3 Cash Flow Assumptions'!G16</f>
        <v>0</v>
      </c>
      <c r="AN16" s="89">
        <f>$AI16*'Y2_3 Cash Flow Assumptions'!H16</f>
        <v>0</v>
      </c>
      <c r="AO16" s="89">
        <f>$AI16*'Y2_3 Cash Flow Assumptions'!I16</f>
        <v>0</v>
      </c>
      <c r="AP16" s="89">
        <f>$AI16*'Y2_3 Cash Flow Assumptions'!J16</f>
        <v>0</v>
      </c>
      <c r="AQ16" s="89">
        <f>$AI16*'Y2_3 Cash Flow Assumptions'!K16</f>
        <v>0</v>
      </c>
      <c r="AR16" s="89">
        <f>$AI16*'Y2_3 Cash Flow Assumptions'!L16</f>
        <v>0</v>
      </c>
      <c r="AS16" s="89">
        <f>$AI16*'Y2_3 Cash Flow Assumptions'!M16</f>
        <v>0</v>
      </c>
      <c r="AT16" s="89">
        <f>$AI16*'Y2_3 Cash Flow Assumptions'!N16</f>
        <v>0</v>
      </c>
      <c r="AU16" s="89">
        <f>$AI16*'Y2_3 Cash Flow Assumptions'!O16</f>
        <v>0</v>
      </c>
      <c r="AV16" s="89">
        <f>$AI16*'Y2_3 Cash Flow Assumptions'!P16</f>
        <v>0</v>
      </c>
    </row>
    <row r="17" spans="1:49" outlineLevel="1">
      <c r="A17" s="23"/>
      <c r="B17" s="24" t="s">
        <v>35</v>
      </c>
      <c r="C17" s="89">
        <f>'Budget Summary'!C13</f>
        <v>98000</v>
      </c>
      <c r="D17" s="89">
        <f>$C17*'Y1 Cash Flow Assumptions'!D17</f>
        <v>0</v>
      </c>
      <c r="E17" s="89">
        <f>$C17*'Y1 Cash Flow Assumptions'!E17</f>
        <v>0</v>
      </c>
      <c r="F17" s="89">
        <f>$C17*'Y1 Cash Flow Assumptions'!F17</f>
        <v>0</v>
      </c>
      <c r="G17" s="89">
        <f>$C17*'Y1 Cash Flow Assumptions'!G17</f>
        <v>0</v>
      </c>
      <c r="H17" s="89">
        <f>$C17*'Y1 Cash Flow Assumptions'!H17</f>
        <v>0</v>
      </c>
      <c r="I17" s="89">
        <f>$C17*'Y1 Cash Flow Assumptions'!I17</f>
        <v>0</v>
      </c>
      <c r="J17" s="89">
        <f>$C17*'Y1 Cash Flow Assumptions'!J17</f>
        <v>0</v>
      </c>
      <c r="K17" s="89">
        <f>$C17*'Y1 Cash Flow Assumptions'!K17</f>
        <v>0</v>
      </c>
      <c r="L17" s="89">
        <f>$C17*'Y1 Cash Flow Assumptions'!L17</f>
        <v>0</v>
      </c>
      <c r="M17" s="89">
        <f>$C17*'Y1 Cash Flow Assumptions'!M17</f>
        <v>0</v>
      </c>
      <c r="N17" s="89">
        <f>$C17*'Y1 Cash Flow Assumptions'!N17</f>
        <v>0</v>
      </c>
      <c r="O17" s="89">
        <f>$C17*'Y1 Cash Flow Assumptions'!O17</f>
        <v>0</v>
      </c>
      <c r="P17" s="89">
        <f>$C17*'Y1 Cash Flow Assumptions'!P17</f>
        <v>98000</v>
      </c>
      <c r="S17" s="89">
        <f>'Budget Summary'!D13</f>
        <v>104125</v>
      </c>
      <c r="T17" s="89">
        <f>$S17*'Y2_3 Cash Flow Assumptions'!D17</f>
        <v>0</v>
      </c>
      <c r="U17" s="89">
        <f>$S17*'Y2_3 Cash Flow Assumptions'!E17</f>
        <v>0</v>
      </c>
      <c r="V17" s="89">
        <f>$S17*'Y2_3 Cash Flow Assumptions'!F17</f>
        <v>0</v>
      </c>
      <c r="W17" s="89">
        <f>$S17*'Y2_3 Cash Flow Assumptions'!G17</f>
        <v>0</v>
      </c>
      <c r="X17" s="89">
        <f>$S17*'Y2_3 Cash Flow Assumptions'!H17</f>
        <v>20825</v>
      </c>
      <c r="Y17" s="89">
        <f>$S17*'Y2_3 Cash Flow Assumptions'!I17</f>
        <v>0</v>
      </c>
      <c r="Z17" s="89">
        <f>$S17*'Y2_3 Cash Flow Assumptions'!J17</f>
        <v>20825</v>
      </c>
      <c r="AA17" s="89">
        <f>$S17*'Y2_3 Cash Flow Assumptions'!K17</f>
        <v>0</v>
      </c>
      <c r="AB17" s="89">
        <f>$S17*'Y2_3 Cash Flow Assumptions'!L17</f>
        <v>20825</v>
      </c>
      <c r="AC17" s="89">
        <f>$S17*'Y2_3 Cash Flow Assumptions'!M17</f>
        <v>0</v>
      </c>
      <c r="AD17" s="89">
        <f>$S17*'Y2_3 Cash Flow Assumptions'!N17</f>
        <v>0</v>
      </c>
      <c r="AE17" s="89">
        <f>$S17*'Y2_3 Cash Flow Assumptions'!O17</f>
        <v>20825</v>
      </c>
      <c r="AF17" s="89">
        <f>$S17*'Y2_3 Cash Flow Assumptions'!P17</f>
        <v>20825</v>
      </c>
      <c r="AI17" s="89">
        <f>'Budget Summary'!E13</f>
        <v>110250</v>
      </c>
      <c r="AJ17" s="89">
        <f>$AI17*'Y2_3 Cash Flow Assumptions'!D17</f>
        <v>0</v>
      </c>
      <c r="AK17" s="89">
        <f>$AI17*'Y2_3 Cash Flow Assumptions'!E17</f>
        <v>0</v>
      </c>
      <c r="AL17" s="89">
        <f>$AI17*'Y2_3 Cash Flow Assumptions'!F17</f>
        <v>0</v>
      </c>
      <c r="AM17" s="89">
        <f>$AI17*'Y2_3 Cash Flow Assumptions'!G17</f>
        <v>0</v>
      </c>
      <c r="AN17" s="89">
        <f>$AI17*'Y2_3 Cash Flow Assumptions'!H17</f>
        <v>22050</v>
      </c>
      <c r="AO17" s="89">
        <f>$AI17*'Y2_3 Cash Flow Assumptions'!I17</f>
        <v>0</v>
      </c>
      <c r="AP17" s="89">
        <f>$AI17*'Y2_3 Cash Flow Assumptions'!J17</f>
        <v>22050</v>
      </c>
      <c r="AQ17" s="89">
        <f>$AI17*'Y2_3 Cash Flow Assumptions'!K17</f>
        <v>0</v>
      </c>
      <c r="AR17" s="89">
        <f>$AI17*'Y2_3 Cash Flow Assumptions'!L17</f>
        <v>22050</v>
      </c>
      <c r="AS17" s="89">
        <f>$AI17*'Y2_3 Cash Flow Assumptions'!M17</f>
        <v>0</v>
      </c>
      <c r="AT17" s="89">
        <f>$AI17*'Y2_3 Cash Flow Assumptions'!N17</f>
        <v>0</v>
      </c>
      <c r="AU17" s="89">
        <f>$AI17*'Y2_3 Cash Flow Assumptions'!O17</f>
        <v>22050</v>
      </c>
      <c r="AV17" s="89">
        <f>$AI17*'Y2_3 Cash Flow Assumptions'!P17</f>
        <v>22050</v>
      </c>
    </row>
    <row r="18" spans="1:49" outlineLevel="1">
      <c r="A18" s="23"/>
      <c r="B18" s="24" t="s">
        <v>36</v>
      </c>
      <c r="C18" s="89">
        <f>'Budget Summary'!C14</f>
        <v>1400</v>
      </c>
      <c r="D18" s="89">
        <f>$C18*'Y1 Cash Flow Assumptions'!D18</f>
        <v>0</v>
      </c>
      <c r="E18" s="89">
        <f>$C18*'Y1 Cash Flow Assumptions'!E18</f>
        <v>0</v>
      </c>
      <c r="F18" s="89">
        <f>$C18*'Y1 Cash Flow Assumptions'!F18</f>
        <v>0</v>
      </c>
      <c r="G18" s="89">
        <f>$C18*'Y1 Cash Flow Assumptions'!G18</f>
        <v>0</v>
      </c>
      <c r="H18" s="89">
        <f>$C18*'Y1 Cash Flow Assumptions'!H18</f>
        <v>0</v>
      </c>
      <c r="I18" s="89">
        <f>$C18*'Y1 Cash Flow Assumptions'!I18</f>
        <v>0</v>
      </c>
      <c r="J18" s="89">
        <f>$C18*'Y1 Cash Flow Assumptions'!J18</f>
        <v>0</v>
      </c>
      <c r="K18" s="89">
        <f>$C18*'Y1 Cash Flow Assumptions'!K18</f>
        <v>0</v>
      </c>
      <c r="L18" s="89">
        <f>$C18*'Y1 Cash Flow Assumptions'!L18</f>
        <v>0</v>
      </c>
      <c r="M18" s="89">
        <f>$C18*'Y1 Cash Flow Assumptions'!M18</f>
        <v>0</v>
      </c>
      <c r="N18" s="89">
        <f>$C18*'Y1 Cash Flow Assumptions'!N18</f>
        <v>0</v>
      </c>
      <c r="O18" s="89">
        <f>$C18*'Y1 Cash Flow Assumptions'!O18</f>
        <v>0</v>
      </c>
      <c r="P18" s="89">
        <f>$C18*'Y1 Cash Flow Assumptions'!P18</f>
        <v>1400</v>
      </c>
      <c r="S18" s="89">
        <f>'Budget Summary'!D14</f>
        <v>1487.5</v>
      </c>
      <c r="T18" s="89">
        <f>$S18*'Y2_3 Cash Flow Assumptions'!D18</f>
        <v>0</v>
      </c>
      <c r="U18" s="89">
        <f>$S18*'Y2_3 Cash Flow Assumptions'!E18</f>
        <v>0</v>
      </c>
      <c r="V18" s="89">
        <f>$S18*'Y2_3 Cash Flow Assumptions'!F18</f>
        <v>0</v>
      </c>
      <c r="W18" s="89">
        <f>$S18*'Y2_3 Cash Flow Assumptions'!G18</f>
        <v>0</v>
      </c>
      <c r="X18" s="89">
        <f>$S18*'Y2_3 Cash Flow Assumptions'!H18</f>
        <v>297.5</v>
      </c>
      <c r="Y18" s="89">
        <f>$S18*'Y2_3 Cash Flow Assumptions'!I18</f>
        <v>0</v>
      </c>
      <c r="Z18" s="89">
        <f>$S18*'Y2_3 Cash Flow Assumptions'!J18</f>
        <v>297.5</v>
      </c>
      <c r="AA18" s="89">
        <f>$S18*'Y2_3 Cash Flow Assumptions'!K18</f>
        <v>0</v>
      </c>
      <c r="AB18" s="89">
        <f>$S18*'Y2_3 Cash Flow Assumptions'!L18</f>
        <v>297.5</v>
      </c>
      <c r="AC18" s="89">
        <f>$S18*'Y2_3 Cash Flow Assumptions'!M18</f>
        <v>0</v>
      </c>
      <c r="AD18" s="89">
        <f>$S18*'Y2_3 Cash Flow Assumptions'!N18</f>
        <v>0</v>
      </c>
      <c r="AE18" s="89">
        <f>$S18*'Y2_3 Cash Flow Assumptions'!O18</f>
        <v>297.5</v>
      </c>
      <c r="AF18" s="89">
        <f>$S18*'Y2_3 Cash Flow Assumptions'!P18</f>
        <v>297.5</v>
      </c>
      <c r="AI18" s="89">
        <f>'Budget Summary'!E14</f>
        <v>1575</v>
      </c>
      <c r="AJ18" s="89">
        <f>$AI18*'Y2_3 Cash Flow Assumptions'!D18</f>
        <v>0</v>
      </c>
      <c r="AK18" s="89">
        <f>$AI18*'Y2_3 Cash Flow Assumptions'!E18</f>
        <v>0</v>
      </c>
      <c r="AL18" s="89">
        <f>$AI18*'Y2_3 Cash Flow Assumptions'!F18</f>
        <v>0</v>
      </c>
      <c r="AM18" s="89">
        <f>$AI18*'Y2_3 Cash Flow Assumptions'!G18</f>
        <v>0</v>
      </c>
      <c r="AN18" s="89">
        <f>$AI18*'Y2_3 Cash Flow Assumptions'!H18</f>
        <v>315</v>
      </c>
      <c r="AO18" s="89">
        <f>$AI18*'Y2_3 Cash Flow Assumptions'!I18</f>
        <v>0</v>
      </c>
      <c r="AP18" s="89">
        <f>$AI18*'Y2_3 Cash Flow Assumptions'!J18</f>
        <v>315</v>
      </c>
      <c r="AQ18" s="89">
        <f>$AI18*'Y2_3 Cash Flow Assumptions'!K18</f>
        <v>0</v>
      </c>
      <c r="AR18" s="89">
        <f>$AI18*'Y2_3 Cash Flow Assumptions'!L18</f>
        <v>315</v>
      </c>
      <c r="AS18" s="89">
        <f>$AI18*'Y2_3 Cash Flow Assumptions'!M18</f>
        <v>0</v>
      </c>
      <c r="AT18" s="89">
        <f>$AI18*'Y2_3 Cash Flow Assumptions'!N18</f>
        <v>0</v>
      </c>
      <c r="AU18" s="89">
        <f>$AI18*'Y2_3 Cash Flow Assumptions'!O18</f>
        <v>315</v>
      </c>
      <c r="AV18" s="89">
        <f>$AI18*'Y2_3 Cash Flow Assumptions'!P18</f>
        <v>315</v>
      </c>
    </row>
    <row r="19" spans="1:49" outlineLevel="1">
      <c r="A19" s="23"/>
      <c r="B19" s="24" t="s">
        <v>37</v>
      </c>
      <c r="C19" s="89">
        <f>'Budget Summary'!C15</f>
        <v>5811.6</v>
      </c>
      <c r="D19" s="89">
        <f>$C19*'Y1 Cash Flow Assumptions'!D19</f>
        <v>0</v>
      </c>
      <c r="E19" s="89">
        <f>$C19*'Y1 Cash Flow Assumptions'!E19</f>
        <v>0</v>
      </c>
      <c r="F19" s="89">
        <f>$C19*'Y1 Cash Flow Assumptions'!F19</f>
        <v>0</v>
      </c>
      <c r="G19" s="89">
        <f>$C19*'Y1 Cash Flow Assumptions'!G19</f>
        <v>0</v>
      </c>
      <c r="H19" s="89">
        <f>$C19*'Y1 Cash Flow Assumptions'!H19</f>
        <v>0</v>
      </c>
      <c r="I19" s="89">
        <f>$C19*'Y1 Cash Flow Assumptions'!I19</f>
        <v>0</v>
      </c>
      <c r="J19" s="89">
        <f>$C19*'Y1 Cash Flow Assumptions'!J19</f>
        <v>0</v>
      </c>
      <c r="K19" s="89">
        <f>$C19*'Y1 Cash Flow Assumptions'!K19</f>
        <v>0</v>
      </c>
      <c r="L19" s="89">
        <f>$C19*'Y1 Cash Flow Assumptions'!L19</f>
        <v>0</v>
      </c>
      <c r="M19" s="89">
        <f>$C19*'Y1 Cash Flow Assumptions'!M19</f>
        <v>0</v>
      </c>
      <c r="N19" s="89">
        <f>$C19*'Y1 Cash Flow Assumptions'!N19</f>
        <v>0</v>
      </c>
      <c r="O19" s="89">
        <f>$C19*'Y1 Cash Flow Assumptions'!O19</f>
        <v>0</v>
      </c>
      <c r="P19" s="89">
        <f>$C19*'Y1 Cash Flow Assumptions'!P19</f>
        <v>5811.6</v>
      </c>
      <c r="S19" s="89">
        <f>'Budget Summary'!D15</f>
        <v>6174.8249999999998</v>
      </c>
      <c r="T19" s="89">
        <f>$S19*'Y2_3 Cash Flow Assumptions'!D19</f>
        <v>0</v>
      </c>
      <c r="U19" s="89">
        <f>$S19*'Y2_3 Cash Flow Assumptions'!E19</f>
        <v>0</v>
      </c>
      <c r="V19" s="89">
        <f>$S19*'Y2_3 Cash Flow Assumptions'!F19</f>
        <v>0</v>
      </c>
      <c r="W19" s="89">
        <f>$S19*'Y2_3 Cash Flow Assumptions'!G19</f>
        <v>0</v>
      </c>
      <c r="X19" s="89">
        <f>$S19*'Y2_3 Cash Flow Assumptions'!H19</f>
        <v>1234.9650000000001</v>
      </c>
      <c r="Y19" s="89">
        <f>$S19*'Y2_3 Cash Flow Assumptions'!I19</f>
        <v>0</v>
      </c>
      <c r="Z19" s="89">
        <f>$S19*'Y2_3 Cash Flow Assumptions'!J19</f>
        <v>1234.9650000000001</v>
      </c>
      <c r="AA19" s="89">
        <f>$S19*'Y2_3 Cash Flow Assumptions'!K19</f>
        <v>0</v>
      </c>
      <c r="AB19" s="89">
        <f>$S19*'Y2_3 Cash Flow Assumptions'!L19</f>
        <v>1234.9650000000001</v>
      </c>
      <c r="AC19" s="89">
        <f>$S19*'Y2_3 Cash Flow Assumptions'!M19</f>
        <v>0</v>
      </c>
      <c r="AD19" s="89">
        <f>$S19*'Y2_3 Cash Flow Assumptions'!N19</f>
        <v>0</v>
      </c>
      <c r="AE19" s="89">
        <f>$S19*'Y2_3 Cash Flow Assumptions'!O19</f>
        <v>1234.9650000000001</v>
      </c>
      <c r="AF19" s="89">
        <f>$S19*'Y2_3 Cash Flow Assumptions'!P19</f>
        <v>1234.9650000000001</v>
      </c>
      <c r="AI19" s="89">
        <f>'Budget Summary'!E15</f>
        <v>6538.05</v>
      </c>
      <c r="AJ19" s="89">
        <f>$AI19*'Y2_3 Cash Flow Assumptions'!D19</f>
        <v>0</v>
      </c>
      <c r="AK19" s="89">
        <f>$AI19*'Y2_3 Cash Flow Assumptions'!E19</f>
        <v>0</v>
      </c>
      <c r="AL19" s="89">
        <f>$AI19*'Y2_3 Cash Flow Assumptions'!F19</f>
        <v>0</v>
      </c>
      <c r="AM19" s="89">
        <f>$AI19*'Y2_3 Cash Flow Assumptions'!G19</f>
        <v>0</v>
      </c>
      <c r="AN19" s="89">
        <f>$AI19*'Y2_3 Cash Flow Assumptions'!H19</f>
        <v>1307.6100000000001</v>
      </c>
      <c r="AO19" s="89">
        <f>$AI19*'Y2_3 Cash Flow Assumptions'!I19</f>
        <v>0</v>
      </c>
      <c r="AP19" s="89">
        <f>$AI19*'Y2_3 Cash Flow Assumptions'!J19</f>
        <v>1307.6100000000001</v>
      </c>
      <c r="AQ19" s="89">
        <f>$AI19*'Y2_3 Cash Flow Assumptions'!K19</f>
        <v>0</v>
      </c>
      <c r="AR19" s="89">
        <f>$AI19*'Y2_3 Cash Flow Assumptions'!L19</f>
        <v>1307.6100000000001</v>
      </c>
      <c r="AS19" s="89">
        <f>$AI19*'Y2_3 Cash Flow Assumptions'!M19</f>
        <v>0</v>
      </c>
      <c r="AT19" s="89">
        <f>$AI19*'Y2_3 Cash Flow Assumptions'!N19</f>
        <v>0</v>
      </c>
      <c r="AU19" s="89">
        <f>$AI19*'Y2_3 Cash Flow Assumptions'!O19</f>
        <v>1307.6100000000001</v>
      </c>
      <c r="AV19" s="89">
        <f>$AI19*'Y2_3 Cash Flow Assumptions'!P19</f>
        <v>1307.6100000000001</v>
      </c>
    </row>
    <row r="20" spans="1:49" outlineLevel="1">
      <c r="A20" s="23"/>
      <c r="B20" s="24" t="s">
        <v>38</v>
      </c>
      <c r="C20" s="89">
        <f>'Budget Summary'!C16</f>
        <v>0</v>
      </c>
      <c r="D20" s="89">
        <f>$C20*'Y1 Cash Flow Assumptions'!D20</f>
        <v>0</v>
      </c>
      <c r="E20" s="89">
        <f>$C20*'Y1 Cash Flow Assumptions'!E20</f>
        <v>0</v>
      </c>
      <c r="F20" s="89">
        <f>$C20*'Y1 Cash Flow Assumptions'!F20</f>
        <v>0</v>
      </c>
      <c r="G20" s="89">
        <f>$C20*'Y1 Cash Flow Assumptions'!G20</f>
        <v>0</v>
      </c>
      <c r="H20" s="89">
        <f>$C20*'Y1 Cash Flow Assumptions'!H20</f>
        <v>0</v>
      </c>
      <c r="I20" s="89">
        <f>$C20*'Y1 Cash Flow Assumptions'!I20</f>
        <v>0</v>
      </c>
      <c r="J20" s="89">
        <f>$C20*'Y1 Cash Flow Assumptions'!J20</f>
        <v>0</v>
      </c>
      <c r="K20" s="89">
        <f>$C20*'Y1 Cash Flow Assumptions'!K20</f>
        <v>0</v>
      </c>
      <c r="L20" s="89">
        <f>$C20*'Y1 Cash Flow Assumptions'!L20</f>
        <v>0</v>
      </c>
      <c r="M20" s="89">
        <f>$C20*'Y1 Cash Flow Assumptions'!M20</f>
        <v>0</v>
      </c>
      <c r="N20" s="89">
        <f>$C20*'Y1 Cash Flow Assumptions'!N20</f>
        <v>0</v>
      </c>
      <c r="O20" s="89">
        <f>$C20*'Y1 Cash Flow Assumptions'!O20</f>
        <v>0</v>
      </c>
      <c r="P20" s="89">
        <f>$C20*'Y1 Cash Flow Assumptions'!P20</f>
        <v>0</v>
      </c>
      <c r="S20" s="89">
        <f>'Budget Summary'!D16</f>
        <v>0</v>
      </c>
      <c r="T20" s="89">
        <f>$S20*'Y2_3 Cash Flow Assumptions'!D20</f>
        <v>0</v>
      </c>
      <c r="U20" s="89">
        <f>$S20*'Y2_3 Cash Flow Assumptions'!E20</f>
        <v>0</v>
      </c>
      <c r="V20" s="89">
        <f>$S20*'Y2_3 Cash Flow Assumptions'!F20</f>
        <v>0</v>
      </c>
      <c r="W20" s="89">
        <f>$S20*'Y2_3 Cash Flow Assumptions'!G20</f>
        <v>0</v>
      </c>
      <c r="X20" s="89">
        <f>$S20*'Y2_3 Cash Flow Assumptions'!H20</f>
        <v>0</v>
      </c>
      <c r="Y20" s="89">
        <f>$S20*'Y2_3 Cash Flow Assumptions'!I20</f>
        <v>0</v>
      </c>
      <c r="Z20" s="89">
        <f>$S20*'Y2_3 Cash Flow Assumptions'!J20</f>
        <v>0</v>
      </c>
      <c r="AA20" s="89">
        <f>$S20*'Y2_3 Cash Flow Assumptions'!K20</f>
        <v>0</v>
      </c>
      <c r="AB20" s="89">
        <f>$S20*'Y2_3 Cash Flow Assumptions'!L20</f>
        <v>0</v>
      </c>
      <c r="AC20" s="89">
        <f>$S20*'Y2_3 Cash Flow Assumptions'!M20</f>
        <v>0</v>
      </c>
      <c r="AD20" s="89">
        <f>$S20*'Y2_3 Cash Flow Assumptions'!N20</f>
        <v>0</v>
      </c>
      <c r="AE20" s="89">
        <f>$S20*'Y2_3 Cash Flow Assumptions'!O20</f>
        <v>0</v>
      </c>
      <c r="AF20" s="89">
        <f>$S20*'Y2_3 Cash Flow Assumptions'!P20</f>
        <v>0</v>
      </c>
      <c r="AI20" s="89">
        <f>'Budget Summary'!E16</f>
        <v>0</v>
      </c>
      <c r="AJ20" s="89">
        <f>$AI20*'Y2_3 Cash Flow Assumptions'!D20</f>
        <v>0</v>
      </c>
      <c r="AK20" s="89">
        <f>$AI20*'Y2_3 Cash Flow Assumptions'!E20</f>
        <v>0</v>
      </c>
      <c r="AL20" s="89">
        <f>$AI20*'Y2_3 Cash Flow Assumptions'!F20</f>
        <v>0</v>
      </c>
      <c r="AM20" s="89">
        <f>$AI20*'Y2_3 Cash Flow Assumptions'!G20</f>
        <v>0</v>
      </c>
      <c r="AN20" s="89">
        <f>$AI20*'Y2_3 Cash Flow Assumptions'!H20</f>
        <v>0</v>
      </c>
      <c r="AO20" s="89">
        <f>$AI20*'Y2_3 Cash Flow Assumptions'!I20</f>
        <v>0</v>
      </c>
      <c r="AP20" s="89">
        <f>$AI20*'Y2_3 Cash Flow Assumptions'!J20</f>
        <v>0</v>
      </c>
      <c r="AQ20" s="89">
        <f>$AI20*'Y2_3 Cash Flow Assumptions'!K20</f>
        <v>0</v>
      </c>
      <c r="AR20" s="89">
        <f>$AI20*'Y2_3 Cash Flow Assumptions'!L20</f>
        <v>0</v>
      </c>
      <c r="AS20" s="89">
        <f>$AI20*'Y2_3 Cash Flow Assumptions'!M20</f>
        <v>0</v>
      </c>
      <c r="AT20" s="89">
        <f>$AI20*'Y2_3 Cash Flow Assumptions'!N20</f>
        <v>0</v>
      </c>
      <c r="AU20" s="89">
        <f>$AI20*'Y2_3 Cash Flow Assumptions'!O20</f>
        <v>0</v>
      </c>
      <c r="AV20" s="89">
        <f>$AI20*'Y2_3 Cash Flow Assumptions'!P20</f>
        <v>0</v>
      </c>
    </row>
    <row r="21" spans="1:49" outlineLevel="1">
      <c r="A21" s="23"/>
      <c r="B21" s="24" t="s">
        <v>6</v>
      </c>
      <c r="C21" s="89">
        <f>'Budget Summary'!C17</f>
        <v>0</v>
      </c>
      <c r="D21" s="89">
        <f>$C21*'Y1 Cash Flow Assumptions'!D21</f>
        <v>0</v>
      </c>
      <c r="E21" s="89">
        <f>$C21*'Y1 Cash Flow Assumptions'!E21</f>
        <v>0</v>
      </c>
      <c r="F21" s="89">
        <f>$C21*'Y1 Cash Flow Assumptions'!F21</f>
        <v>0</v>
      </c>
      <c r="G21" s="89">
        <f>$C21*'Y1 Cash Flow Assumptions'!G21</f>
        <v>0</v>
      </c>
      <c r="H21" s="89">
        <f>$C21*'Y1 Cash Flow Assumptions'!H21</f>
        <v>0</v>
      </c>
      <c r="I21" s="89">
        <f>$C21*'Y1 Cash Flow Assumptions'!I21</f>
        <v>0</v>
      </c>
      <c r="J21" s="89">
        <f>$C21*'Y1 Cash Flow Assumptions'!J21</f>
        <v>0</v>
      </c>
      <c r="K21" s="89">
        <f>$C21*'Y1 Cash Flow Assumptions'!K21</f>
        <v>0</v>
      </c>
      <c r="L21" s="89">
        <f>$C21*'Y1 Cash Flow Assumptions'!L21</f>
        <v>0</v>
      </c>
      <c r="M21" s="89">
        <f>$C21*'Y1 Cash Flow Assumptions'!M21</f>
        <v>0</v>
      </c>
      <c r="N21" s="89">
        <f>$C21*'Y1 Cash Flow Assumptions'!N21</f>
        <v>0</v>
      </c>
      <c r="O21" s="89">
        <f>$C21*'Y1 Cash Flow Assumptions'!O21</f>
        <v>0</v>
      </c>
      <c r="P21" s="89">
        <f>$C21*'Y1 Cash Flow Assumptions'!P21</f>
        <v>0</v>
      </c>
      <c r="S21" s="89">
        <f>'Budget Summary'!D17</f>
        <v>0</v>
      </c>
      <c r="T21" s="89">
        <f>$S21*'Y2_3 Cash Flow Assumptions'!D21</f>
        <v>0</v>
      </c>
      <c r="U21" s="89">
        <f>$S21*'Y2_3 Cash Flow Assumptions'!E21</f>
        <v>0</v>
      </c>
      <c r="V21" s="89">
        <f>$S21*'Y2_3 Cash Flow Assumptions'!F21</f>
        <v>0</v>
      </c>
      <c r="W21" s="89">
        <f>$S21*'Y2_3 Cash Flow Assumptions'!G21</f>
        <v>0</v>
      </c>
      <c r="X21" s="89">
        <f>$S21*'Y2_3 Cash Flow Assumptions'!H21</f>
        <v>0</v>
      </c>
      <c r="Y21" s="89">
        <f>$S21*'Y2_3 Cash Flow Assumptions'!I21</f>
        <v>0</v>
      </c>
      <c r="Z21" s="89">
        <f>$S21*'Y2_3 Cash Flow Assumptions'!J21</f>
        <v>0</v>
      </c>
      <c r="AA21" s="89">
        <f>$S21*'Y2_3 Cash Flow Assumptions'!K21</f>
        <v>0</v>
      </c>
      <c r="AB21" s="89">
        <f>$S21*'Y2_3 Cash Flow Assumptions'!L21</f>
        <v>0</v>
      </c>
      <c r="AC21" s="89">
        <f>$S21*'Y2_3 Cash Flow Assumptions'!M21</f>
        <v>0</v>
      </c>
      <c r="AD21" s="89">
        <f>$S21*'Y2_3 Cash Flow Assumptions'!N21</f>
        <v>0</v>
      </c>
      <c r="AE21" s="89">
        <f>$S21*'Y2_3 Cash Flow Assumptions'!O21</f>
        <v>0</v>
      </c>
      <c r="AF21" s="89">
        <f>$S21*'Y2_3 Cash Flow Assumptions'!P21</f>
        <v>0</v>
      </c>
      <c r="AI21" s="89">
        <f>'Budget Summary'!E17</f>
        <v>0</v>
      </c>
      <c r="AJ21" s="89">
        <f>$AI21*'Y2_3 Cash Flow Assumptions'!D21</f>
        <v>0</v>
      </c>
      <c r="AK21" s="89">
        <f>$AI21*'Y2_3 Cash Flow Assumptions'!E21</f>
        <v>0</v>
      </c>
      <c r="AL21" s="89">
        <f>$AI21*'Y2_3 Cash Flow Assumptions'!F21</f>
        <v>0</v>
      </c>
      <c r="AM21" s="89">
        <f>$AI21*'Y2_3 Cash Flow Assumptions'!G21</f>
        <v>0</v>
      </c>
      <c r="AN21" s="89">
        <f>$AI21*'Y2_3 Cash Flow Assumptions'!H21</f>
        <v>0</v>
      </c>
      <c r="AO21" s="89">
        <f>$AI21*'Y2_3 Cash Flow Assumptions'!I21</f>
        <v>0</v>
      </c>
      <c r="AP21" s="89">
        <f>$AI21*'Y2_3 Cash Flow Assumptions'!J21</f>
        <v>0</v>
      </c>
      <c r="AQ21" s="89">
        <f>$AI21*'Y2_3 Cash Flow Assumptions'!K21</f>
        <v>0</v>
      </c>
      <c r="AR21" s="89">
        <f>$AI21*'Y2_3 Cash Flow Assumptions'!L21</f>
        <v>0</v>
      </c>
      <c r="AS21" s="89">
        <f>$AI21*'Y2_3 Cash Flow Assumptions'!M21</f>
        <v>0</v>
      </c>
      <c r="AT21" s="89">
        <f>$AI21*'Y2_3 Cash Flow Assumptions'!N21</f>
        <v>0</v>
      </c>
      <c r="AU21" s="89">
        <f>$AI21*'Y2_3 Cash Flow Assumptions'!O21</f>
        <v>0</v>
      </c>
      <c r="AV21" s="89">
        <f>$AI21*'Y2_3 Cash Flow Assumptions'!P21</f>
        <v>0</v>
      </c>
    </row>
    <row r="22" spans="1:49" s="23" customFormat="1">
      <c r="A22" s="23" t="s">
        <v>27</v>
      </c>
      <c r="C22" s="88">
        <f>SUM(C15:C21)</f>
        <v>105211.6</v>
      </c>
      <c r="D22" s="88">
        <f t="shared" ref="D22:P22" si="6">SUM(D15:D21)</f>
        <v>0</v>
      </c>
      <c r="E22" s="88">
        <f t="shared" si="6"/>
        <v>0</v>
      </c>
      <c r="F22" s="88">
        <f t="shared" si="6"/>
        <v>0</v>
      </c>
      <c r="G22" s="88">
        <f t="shared" si="6"/>
        <v>0</v>
      </c>
      <c r="H22" s="88">
        <f t="shared" si="6"/>
        <v>0</v>
      </c>
      <c r="I22" s="88">
        <f t="shared" si="6"/>
        <v>0</v>
      </c>
      <c r="J22" s="88">
        <f t="shared" si="6"/>
        <v>0</v>
      </c>
      <c r="K22" s="88">
        <f t="shared" si="6"/>
        <v>0</v>
      </c>
      <c r="L22" s="88">
        <f t="shared" si="6"/>
        <v>0</v>
      </c>
      <c r="M22" s="88">
        <f t="shared" si="6"/>
        <v>0</v>
      </c>
      <c r="N22" s="88">
        <f t="shared" si="6"/>
        <v>0</v>
      </c>
      <c r="O22" s="88">
        <f t="shared" si="6"/>
        <v>0</v>
      </c>
      <c r="P22" s="88">
        <f t="shared" si="6"/>
        <v>105211.6</v>
      </c>
      <c r="Q22" s="103"/>
      <c r="S22" s="88">
        <f>SUM(S15:S21)</f>
        <v>111787.325</v>
      </c>
      <c r="T22" s="88">
        <f t="shared" ref="T22:AF22" si="7">SUM(T15:T21)</f>
        <v>0</v>
      </c>
      <c r="U22" s="88">
        <f t="shared" si="7"/>
        <v>0</v>
      </c>
      <c r="V22" s="88">
        <f t="shared" si="7"/>
        <v>0</v>
      </c>
      <c r="W22" s="88">
        <f t="shared" si="7"/>
        <v>0</v>
      </c>
      <c r="X22" s="88">
        <f t="shared" si="7"/>
        <v>22357.465</v>
      </c>
      <c r="Y22" s="88">
        <f t="shared" si="7"/>
        <v>0</v>
      </c>
      <c r="Z22" s="88">
        <f t="shared" si="7"/>
        <v>22357.465</v>
      </c>
      <c r="AA22" s="88">
        <f t="shared" si="7"/>
        <v>0</v>
      </c>
      <c r="AB22" s="88">
        <f t="shared" si="7"/>
        <v>22357.465</v>
      </c>
      <c r="AC22" s="88">
        <f t="shared" si="7"/>
        <v>0</v>
      </c>
      <c r="AD22" s="88">
        <f t="shared" si="7"/>
        <v>0</v>
      </c>
      <c r="AE22" s="88">
        <f t="shared" si="7"/>
        <v>22357.465</v>
      </c>
      <c r="AF22" s="88">
        <f t="shared" si="7"/>
        <v>22357.465</v>
      </c>
      <c r="AG22" s="103"/>
      <c r="AI22" s="88">
        <f>SUM(AI15:AI21)</f>
        <v>118363.05</v>
      </c>
      <c r="AJ22" s="88">
        <f t="shared" ref="AJ22:AV22" si="8">SUM(AJ15:AJ21)</f>
        <v>0</v>
      </c>
      <c r="AK22" s="88">
        <f t="shared" si="8"/>
        <v>0</v>
      </c>
      <c r="AL22" s="88">
        <f t="shared" si="8"/>
        <v>0</v>
      </c>
      <c r="AM22" s="88">
        <f t="shared" si="8"/>
        <v>0</v>
      </c>
      <c r="AN22" s="88">
        <f t="shared" si="8"/>
        <v>23672.61</v>
      </c>
      <c r="AO22" s="88">
        <f t="shared" si="8"/>
        <v>0</v>
      </c>
      <c r="AP22" s="88">
        <f t="shared" si="8"/>
        <v>23672.61</v>
      </c>
      <c r="AQ22" s="88">
        <f t="shared" si="8"/>
        <v>0</v>
      </c>
      <c r="AR22" s="88">
        <f t="shared" si="8"/>
        <v>23672.61</v>
      </c>
      <c r="AS22" s="88">
        <f t="shared" si="8"/>
        <v>0</v>
      </c>
      <c r="AT22" s="88">
        <f t="shared" si="8"/>
        <v>0</v>
      </c>
      <c r="AU22" s="88">
        <f t="shared" si="8"/>
        <v>23672.61</v>
      </c>
      <c r="AV22" s="88">
        <f t="shared" si="8"/>
        <v>23672.61</v>
      </c>
      <c r="AW22" s="83"/>
    </row>
    <row r="23" spans="1:49" outlineLevel="1">
      <c r="A23" s="23" t="s">
        <v>28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</row>
    <row r="24" spans="1:49" outlineLevel="1">
      <c r="A24" s="23"/>
      <c r="B24" s="24" t="s">
        <v>7</v>
      </c>
      <c r="C24" s="89">
        <f>'Budget Summary'!C20</f>
        <v>0</v>
      </c>
      <c r="D24" s="89">
        <f>$C24*'Y1 Cash Flow Assumptions'!D24</f>
        <v>0</v>
      </c>
      <c r="E24" s="89">
        <f>$C24*'Y1 Cash Flow Assumptions'!E24</f>
        <v>0</v>
      </c>
      <c r="F24" s="89">
        <f>$C24*'Y1 Cash Flow Assumptions'!F24</f>
        <v>0</v>
      </c>
      <c r="G24" s="89">
        <f>$C24*'Y1 Cash Flow Assumptions'!G24</f>
        <v>0</v>
      </c>
      <c r="H24" s="89">
        <f>$C24*'Y1 Cash Flow Assumptions'!H24</f>
        <v>0</v>
      </c>
      <c r="I24" s="89">
        <f>$C24*'Y1 Cash Flow Assumptions'!I24</f>
        <v>0</v>
      </c>
      <c r="J24" s="90">
        <f>($C24*('Y1 Cash Flow Assumptions'!G24+'Y1 Cash Flow Assumptions'!J24))-SUM(D24:I24)</f>
        <v>0</v>
      </c>
      <c r="K24" s="89">
        <f>($C24-SUM($D24:$J24))*'Y1 Cash Flow Assumptions'!K24</f>
        <v>0</v>
      </c>
      <c r="L24" s="89">
        <f>($C24-SUM($D24:$J24))*'Y1 Cash Flow Assumptions'!L24</f>
        <v>0</v>
      </c>
      <c r="M24" s="89">
        <f>($C24-SUM($D24:$J24))*'Y1 Cash Flow Assumptions'!M24</f>
        <v>0</v>
      </c>
      <c r="N24" s="89">
        <f>($C24-SUM($D24:$J24))*'Y1 Cash Flow Assumptions'!N24</f>
        <v>0</v>
      </c>
      <c r="O24" s="89">
        <f>($C24-SUM($D24:$J24))*'Y1 Cash Flow Assumptions'!O24</f>
        <v>0</v>
      </c>
      <c r="P24" s="89">
        <f>($C24-SUM($D24:$J24))*'Y1 Cash Flow Assumptions'!P24</f>
        <v>0</v>
      </c>
      <c r="S24" s="89">
        <f>'Budget Summary'!D20</f>
        <v>0</v>
      </c>
      <c r="T24" s="89">
        <f>$C24*'Y2_3 Cash Flow Assumptions'!D24</f>
        <v>0</v>
      </c>
      <c r="U24" s="89">
        <f>$C24*'Y2_3 Cash Flow Assumptions'!E24</f>
        <v>0</v>
      </c>
      <c r="V24" s="89">
        <f>$C24*'Y2_3 Cash Flow Assumptions'!F24</f>
        <v>0</v>
      </c>
      <c r="W24" s="89">
        <f>$C24*'Y2_3 Cash Flow Assumptions'!G24</f>
        <v>0</v>
      </c>
      <c r="X24" s="89">
        <f>$C24*'Y2_3 Cash Flow Assumptions'!H24</f>
        <v>0</v>
      </c>
      <c r="Y24" s="89">
        <f>$C24*'Y2_3 Cash Flow Assumptions'!I24</f>
        <v>0</v>
      </c>
      <c r="Z24" s="89">
        <f>$C24*'Y2_3 Cash Flow Assumptions'!J24</f>
        <v>0</v>
      </c>
      <c r="AA24" s="89">
        <f>$C24*'Y2_3 Cash Flow Assumptions'!K24</f>
        <v>0</v>
      </c>
      <c r="AB24" s="89">
        <f>($S24-SUM($T24:$AA24))*'Y2_3 Cash Flow Assumptions'!L24</f>
        <v>0</v>
      </c>
      <c r="AC24" s="89">
        <f>($S24-SUM($T24:$AA24))*'Y2_3 Cash Flow Assumptions'!M24</f>
        <v>0</v>
      </c>
      <c r="AD24" s="89">
        <f>($S24-SUM($T24:$AA24))*'Y2_3 Cash Flow Assumptions'!N24</f>
        <v>0</v>
      </c>
      <c r="AE24" s="89">
        <f>($S24-SUM($T24:$AA24))*'Y2_3 Cash Flow Assumptions'!O24</f>
        <v>0</v>
      </c>
      <c r="AF24" s="89">
        <f>($S24-SUM($T24:$AA24))*'Y2_3 Cash Flow Assumptions'!P24</f>
        <v>0</v>
      </c>
      <c r="AI24" s="89">
        <f>'Budget Summary'!E20</f>
        <v>0</v>
      </c>
      <c r="AJ24" s="89">
        <f>$S24*'Y2_3 Cash Flow Assumptions'!D24</f>
        <v>0</v>
      </c>
      <c r="AK24" s="89">
        <f>$S24*'Y2_3 Cash Flow Assumptions'!E24</f>
        <v>0</v>
      </c>
      <c r="AL24" s="89">
        <f>$S24*'Y2_3 Cash Flow Assumptions'!F24</f>
        <v>0</v>
      </c>
      <c r="AM24" s="89">
        <f>$S24*'Y2_3 Cash Flow Assumptions'!G24</f>
        <v>0</v>
      </c>
      <c r="AN24" s="89">
        <f>$S24*'Y2_3 Cash Flow Assumptions'!H24</f>
        <v>0</v>
      </c>
      <c r="AO24" s="89">
        <f>$S24*'Y2_3 Cash Flow Assumptions'!I24</f>
        <v>0</v>
      </c>
      <c r="AP24" s="89">
        <f>$S24*'Y2_3 Cash Flow Assumptions'!J24</f>
        <v>0</v>
      </c>
      <c r="AQ24" s="89">
        <f>$S24*'Y2_3 Cash Flow Assumptions'!K24</f>
        <v>0</v>
      </c>
      <c r="AR24" s="90">
        <f>'Y2_3 Cash Flow Assumptions'!L24*('Cash Flow Summary'!$AI24-SUM('Cash Flow Summary'!$AJ24:$AQ24))</f>
        <v>0</v>
      </c>
      <c r="AS24" s="90">
        <f>'Y2_3 Cash Flow Assumptions'!M24*('Cash Flow Summary'!$AI24-SUM('Cash Flow Summary'!$AJ24:$AQ24))</f>
        <v>0</v>
      </c>
      <c r="AT24" s="90">
        <f>'Y2_3 Cash Flow Assumptions'!N24*('Cash Flow Summary'!$AI24-SUM('Cash Flow Summary'!$AJ24:$AQ24))</f>
        <v>0</v>
      </c>
      <c r="AU24" s="90">
        <f>'Y2_3 Cash Flow Assumptions'!O24*('Cash Flow Summary'!$AI24-SUM('Cash Flow Summary'!$AJ24:$AQ24))</f>
        <v>0</v>
      </c>
      <c r="AV24" s="90">
        <f>'Y2_3 Cash Flow Assumptions'!P24*('Cash Flow Summary'!$AI24-SUM('Cash Flow Summary'!$AJ24:$AQ24))</f>
        <v>0</v>
      </c>
    </row>
    <row r="25" spans="1:49" outlineLevel="1">
      <c r="A25" s="23"/>
      <c r="B25" s="24" t="s">
        <v>31</v>
      </c>
      <c r="C25" s="89">
        <f>'Budget Summary'!C21</f>
        <v>0</v>
      </c>
      <c r="D25" s="89">
        <f>$C25*'Y1 Cash Flow Assumptions'!D25</f>
        <v>0</v>
      </c>
      <c r="E25" s="89">
        <f>$C25*'Y1 Cash Flow Assumptions'!E25</f>
        <v>0</v>
      </c>
      <c r="F25" s="89">
        <f>$C25*'Y1 Cash Flow Assumptions'!F25</f>
        <v>0</v>
      </c>
      <c r="G25" s="89">
        <f>$C25*'Y1 Cash Flow Assumptions'!G25</f>
        <v>0</v>
      </c>
      <c r="H25" s="89">
        <f>$C25*'Y1 Cash Flow Assumptions'!H25</f>
        <v>0</v>
      </c>
      <c r="I25" s="89">
        <f>$C25*'Y1 Cash Flow Assumptions'!I25</f>
        <v>0</v>
      </c>
      <c r="J25" s="89">
        <f>$C25*'Y1 Cash Flow Assumptions'!J25</f>
        <v>0</v>
      </c>
      <c r="K25" s="89">
        <f>$C25*'Y1 Cash Flow Assumptions'!K25</f>
        <v>0</v>
      </c>
      <c r="L25" s="89">
        <f>$C25*'Y1 Cash Flow Assumptions'!L25</f>
        <v>0</v>
      </c>
      <c r="M25" s="89">
        <f>$C25*'Y1 Cash Flow Assumptions'!M25</f>
        <v>0</v>
      </c>
      <c r="N25" s="89">
        <f>$C25*'Y1 Cash Flow Assumptions'!N25</f>
        <v>0</v>
      </c>
      <c r="O25" s="89">
        <f>$C25*'Y1 Cash Flow Assumptions'!O25</f>
        <v>0</v>
      </c>
      <c r="P25" s="89">
        <f>$C25*'Y1 Cash Flow Assumptions'!P25</f>
        <v>0</v>
      </c>
      <c r="S25" s="89">
        <f>'Budget Summary'!D21</f>
        <v>0</v>
      </c>
      <c r="T25" s="89">
        <f>$S25*'Y2_3 Cash Flow Assumptions'!D25</f>
        <v>0</v>
      </c>
      <c r="U25" s="89">
        <f>$S25*'Y2_3 Cash Flow Assumptions'!E25</f>
        <v>0</v>
      </c>
      <c r="V25" s="89">
        <f>$S25*'Y2_3 Cash Flow Assumptions'!F25</f>
        <v>0</v>
      </c>
      <c r="W25" s="89">
        <f>$S25*'Y2_3 Cash Flow Assumptions'!G25</f>
        <v>0</v>
      </c>
      <c r="X25" s="89">
        <f>$S25*'Y2_3 Cash Flow Assumptions'!H25</f>
        <v>0</v>
      </c>
      <c r="Y25" s="89">
        <f>$S25*'Y2_3 Cash Flow Assumptions'!I25</f>
        <v>0</v>
      </c>
      <c r="Z25" s="89">
        <f>$S25*'Y2_3 Cash Flow Assumptions'!J25</f>
        <v>0</v>
      </c>
      <c r="AA25" s="89">
        <f>$S25*'Y2_3 Cash Flow Assumptions'!K25</f>
        <v>0</v>
      </c>
      <c r="AB25" s="89">
        <f>$S25*'Y2_3 Cash Flow Assumptions'!L25</f>
        <v>0</v>
      </c>
      <c r="AC25" s="89">
        <f>$S25*'Y2_3 Cash Flow Assumptions'!M25</f>
        <v>0</v>
      </c>
      <c r="AD25" s="89">
        <f>$S25*'Y2_3 Cash Flow Assumptions'!N25</f>
        <v>0</v>
      </c>
      <c r="AE25" s="89">
        <f>$S25*'Y2_3 Cash Flow Assumptions'!O25</f>
        <v>0</v>
      </c>
      <c r="AF25" s="89">
        <f>$S25*'Y2_3 Cash Flow Assumptions'!P25</f>
        <v>0</v>
      </c>
      <c r="AI25" s="89">
        <f>'Budget Summary'!E21</f>
        <v>0</v>
      </c>
      <c r="AJ25" s="89">
        <f>$AI25*'Y2_3 Cash Flow Assumptions'!D25</f>
        <v>0</v>
      </c>
      <c r="AK25" s="89">
        <f>$AI25*'Y2_3 Cash Flow Assumptions'!E25</f>
        <v>0</v>
      </c>
      <c r="AL25" s="89">
        <f>$AI25*'Y2_3 Cash Flow Assumptions'!F25</f>
        <v>0</v>
      </c>
      <c r="AM25" s="89">
        <f>$AI25*'Y2_3 Cash Flow Assumptions'!G25</f>
        <v>0</v>
      </c>
      <c r="AN25" s="89">
        <f>$AI25*'Y2_3 Cash Flow Assumptions'!H25</f>
        <v>0</v>
      </c>
      <c r="AO25" s="89">
        <f>$AI25*'Y2_3 Cash Flow Assumptions'!I25</f>
        <v>0</v>
      </c>
      <c r="AP25" s="89">
        <f>$AI25*'Y2_3 Cash Flow Assumptions'!J25</f>
        <v>0</v>
      </c>
      <c r="AQ25" s="89">
        <f>$AI25*'Y2_3 Cash Flow Assumptions'!K25</f>
        <v>0</v>
      </c>
      <c r="AR25" s="89">
        <f>$AI25*'Y2_3 Cash Flow Assumptions'!L25</f>
        <v>0</v>
      </c>
      <c r="AS25" s="89">
        <f>$AI25*'Y2_3 Cash Flow Assumptions'!M25</f>
        <v>0</v>
      </c>
      <c r="AT25" s="89">
        <f>$AI25*'Y2_3 Cash Flow Assumptions'!N25</f>
        <v>0</v>
      </c>
      <c r="AU25" s="89">
        <f>$AI25*'Y2_3 Cash Flow Assumptions'!O25</f>
        <v>0</v>
      </c>
      <c r="AV25" s="89">
        <f>$AI25*'Y2_3 Cash Flow Assumptions'!P25</f>
        <v>0</v>
      </c>
    </row>
    <row r="26" spans="1:49" outlineLevel="1">
      <c r="A26" s="23"/>
      <c r="B26" s="24" t="s">
        <v>32</v>
      </c>
      <c r="C26" s="89">
        <f>'Budget Summary'!C22</f>
        <v>0</v>
      </c>
      <c r="D26" s="89">
        <f>$C26*'Y1 Cash Flow Assumptions'!D26</f>
        <v>0</v>
      </c>
      <c r="E26" s="89">
        <f>$C26*'Y1 Cash Flow Assumptions'!E26</f>
        <v>0</v>
      </c>
      <c r="F26" s="89">
        <f>$C26*'Y1 Cash Flow Assumptions'!F26</f>
        <v>0</v>
      </c>
      <c r="G26" s="89">
        <f>$C26*'Y1 Cash Flow Assumptions'!G26</f>
        <v>0</v>
      </c>
      <c r="H26" s="89">
        <f>$C26*'Y1 Cash Flow Assumptions'!H26</f>
        <v>0</v>
      </c>
      <c r="I26" s="89">
        <f>$C26*'Y1 Cash Flow Assumptions'!I26</f>
        <v>0</v>
      </c>
      <c r="J26" s="89">
        <f>$C26*'Y1 Cash Flow Assumptions'!J26</f>
        <v>0</v>
      </c>
      <c r="K26" s="89">
        <f>$C26*'Y1 Cash Flow Assumptions'!K26</f>
        <v>0</v>
      </c>
      <c r="L26" s="89">
        <f>$C26*'Y1 Cash Flow Assumptions'!L26</f>
        <v>0</v>
      </c>
      <c r="M26" s="89">
        <f>$C26*'Y1 Cash Flow Assumptions'!M26</f>
        <v>0</v>
      </c>
      <c r="N26" s="89">
        <f>$C26*'Y1 Cash Flow Assumptions'!N26</f>
        <v>0</v>
      </c>
      <c r="O26" s="89">
        <f>$C26*'Y1 Cash Flow Assumptions'!O26</f>
        <v>0</v>
      </c>
      <c r="P26" s="89">
        <f>$C26*'Y1 Cash Flow Assumptions'!P26</f>
        <v>0</v>
      </c>
      <c r="S26" s="89">
        <f>'Budget Summary'!D22</f>
        <v>5400</v>
      </c>
      <c r="T26" s="89">
        <f>$S26*'Y2_3 Cash Flow Assumptions'!D26</f>
        <v>0</v>
      </c>
      <c r="U26" s="89">
        <f>$S26*'Y2_3 Cash Flow Assumptions'!E26</f>
        <v>0</v>
      </c>
      <c r="V26" s="89">
        <f>$S26*'Y2_3 Cash Flow Assumptions'!F26</f>
        <v>0</v>
      </c>
      <c r="W26" s="89">
        <f>$S26*'Y2_3 Cash Flow Assumptions'!G26</f>
        <v>0</v>
      </c>
      <c r="X26" s="89">
        <f>$S26*'Y2_3 Cash Flow Assumptions'!H26</f>
        <v>0</v>
      </c>
      <c r="Y26" s="89">
        <f>$S26*'Y2_3 Cash Flow Assumptions'!I26</f>
        <v>5400</v>
      </c>
      <c r="Z26" s="89">
        <f>$S26*'Y2_3 Cash Flow Assumptions'!J26</f>
        <v>0</v>
      </c>
      <c r="AA26" s="89">
        <f>$S26*'Y2_3 Cash Flow Assumptions'!K26</f>
        <v>0</v>
      </c>
      <c r="AB26" s="89">
        <f>$S26*'Y2_3 Cash Flow Assumptions'!L26</f>
        <v>0</v>
      </c>
      <c r="AC26" s="89">
        <f>$S26*'Y2_3 Cash Flow Assumptions'!M26</f>
        <v>0</v>
      </c>
      <c r="AD26" s="89">
        <f>$S26*'Y2_3 Cash Flow Assumptions'!N26</f>
        <v>0</v>
      </c>
      <c r="AE26" s="89">
        <f>$S26*'Y2_3 Cash Flow Assumptions'!O26</f>
        <v>0</v>
      </c>
      <c r="AF26" s="89">
        <f>$S26*'Y2_3 Cash Flow Assumptions'!P26</f>
        <v>0</v>
      </c>
      <c r="AI26" s="89">
        <f>'Budget Summary'!E22</f>
        <v>5435.3250000000007</v>
      </c>
      <c r="AJ26" s="89">
        <f>$AI26*'Y2_3 Cash Flow Assumptions'!D26</f>
        <v>0</v>
      </c>
      <c r="AK26" s="89">
        <f>$AI26*'Y2_3 Cash Flow Assumptions'!E26</f>
        <v>0</v>
      </c>
      <c r="AL26" s="89">
        <f>$AI26*'Y2_3 Cash Flow Assumptions'!F26</f>
        <v>0</v>
      </c>
      <c r="AM26" s="89">
        <f>$AI26*'Y2_3 Cash Flow Assumptions'!G26</f>
        <v>0</v>
      </c>
      <c r="AN26" s="89">
        <f>$AI26*'Y2_3 Cash Flow Assumptions'!H26</f>
        <v>0</v>
      </c>
      <c r="AO26" s="89">
        <f>$AI26*'Y2_3 Cash Flow Assumptions'!I26</f>
        <v>5435.3250000000007</v>
      </c>
      <c r="AP26" s="89">
        <f>$AI26*'Y2_3 Cash Flow Assumptions'!J26</f>
        <v>0</v>
      </c>
      <c r="AQ26" s="89">
        <f>$AI26*'Y2_3 Cash Flow Assumptions'!K26</f>
        <v>0</v>
      </c>
      <c r="AR26" s="89">
        <f>$AI26*'Y2_3 Cash Flow Assumptions'!L26</f>
        <v>0</v>
      </c>
      <c r="AS26" s="89">
        <f>$AI26*'Y2_3 Cash Flow Assumptions'!M26</f>
        <v>0</v>
      </c>
      <c r="AT26" s="89">
        <f>$AI26*'Y2_3 Cash Flow Assumptions'!N26</f>
        <v>0</v>
      </c>
      <c r="AU26" s="89">
        <f>$AI26*'Y2_3 Cash Flow Assumptions'!O26</f>
        <v>0</v>
      </c>
      <c r="AV26" s="89">
        <f>$AI26*'Y2_3 Cash Flow Assumptions'!P26</f>
        <v>0</v>
      </c>
    </row>
    <row r="27" spans="1:49" outlineLevel="1">
      <c r="A27" s="23"/>
      <c r="B27" s="24" t="s">
        <v>33</v>
      </c>
      <c r="C27" s="89">
        <f>'Budget Summary'!C23</f>
        <v>68040</v>
      </c>
      <c r="D27" s="89">
        <f>$C27*'Y1 Cash Flow Assumptions'!D27</f>
        <v>0</v>
      </c>
      <c r="E27" s="89">
        <f>$C27*'Y1 Cash Flow Assumptions'!E27</f>
        <v>0</v>
      </c>
      <c r="F27" s="89">
        <f>$C27*'Y1 Cash Flow Assumptions'!F27</f>
        <v>0</v>
      </c>
      <c r="G27" s="89">
        <f>$C27*'Y1 Cash Flow Assumptions'!G27</f>
        <v>0</v>
      </c>
      <c r="H27" s="89">
        <f>$C27*'Y1 Cash Flow Assumptions'!H27</f>
        <v>0</v>
      </c>
      <c r="I27" s="89">
        <f>$C27*'Y1 Cash Flow Assumptions'!I27</f>
        <v>0</v>
      </c>
      <c r="J27" s="89">
        <f>$C27*'Y1 Cash Flow Assumptions'!J27</f>
        <v>0</v>
      </c>
      <c r="K27" s="89">
        <f>$C27*'Y1 Cash Flow Assumptions'!K27</f>
        <v>0</v>
      </c>
      <c r="L27" s="89">
        <f>$C27*'Y1 Cash Flow Assumptions'!L27</f>
        <v>0</v>
      </c>
      <c r="M27" s="89">
        <f>$C27*'Y1 Cash Flow Assumptions'!M27</f>
        <v>0</v>
      </c>
      <c r="N27" s="89">
        <f>$C27*'Y1 Cash Flow Assumptions'!N27</f>
        <v>0</v>
      </c>
      <c r="O27" s="89">
        <f>$C27*'Y1 Cash Flow Assumptions'!O27</f>
        <v>0</v>
      </c>
      <c r="P27" s="89">
        <f>$C27*'Y1 Cash Flow Assumptions'!P27</f>
        <v>68040</v>
      </c>
      <c r="S27" s="89">
        <f>'Budget Summary'!D23</f>
        <v>72292.5</v>
      </c>
      <c r="T27" s="89">
        <f>$S27*'Y2_3 Cash Flow Assumptions'!D27</f>
        <v>0</v>
      </c>
      <c r="U27" s="89">
        <f>$S27*'Y2_3 Cash Flow Assumptions'!E27</f>
        <v>0</v>
      </c>
      <c r="V27" s="89">
        <f>$S27*'Y2_3 Cash Flow Assumptions'!F27</f>
        <v>0</v>
      </c>
      <c r="W27" s="89">
        <f>$S27*'Y2_3 Cash Flow Assumptions'!G27</f>
        <v>0</v>
      </c>
      <c r="X27" s="89">
        <f>$S27*'Y2_3 Cash Flow Assumptions'!H27</f>
        <v>0</v>
      </c>
      <c r="Y27" s="89">
        <f>$S27*'Y2_3 Cash Flow Assumptions'!I27</f>
        <v>0</v>
      </c>
      <c r="Z27" s="89">
        <f>$S27*'Y2_3 Cash Flow Assumptions'!J27</f>
        <v>18073.125</v>
      </c>
      <c r="AA27" s="89">
        <f>$S27*'Y2_3 Cash Flow Assumptions'!K27</f>
        <v>0</v>
      </c>
      <c r="AB27" s="89">
        <f>$S27*'Y2_3 Cash Flow Assumptions'!L27</f>
        <v>0</v>
      </c>
      <c r="AC27" s="89">
        <f>$S27*'Y2_3 Cash Flow Assumptions'!M27</f>
        <v>18073.125</v>
      </c>
      <c r="AD27" s="89">
        <f>$S27*'Y2_3 Cash Flow Assumptions'!N27</f>
        <v>0</v>
      </c>
      <c r="AE27" s="89">
        <f>$S27*'Y2_3 Cash Flow Assumptions'!O27</f>
        <v>0</v>
      </c>
      <c r="AF27" s="89">
        <f>$S27*'Y2_3 Cash Flow Assumptions'!P27</f>
        <v>36146.25</v>
      </c>
      <c r="AI27" s="89">
        <f>'Budget Summary'!E23</f>
        <v>76545</v>
      </c>
      <c r="AJ27" s="89">
        <f>$AI27*'Y2_3 Cash Flow Assumptions'!D27</f>
        <v>0</v>
      </c>
      <c r="AK27" s="89">
        <f>$AI27*'Y2_3 Cash Flow Assumptions'!E27</f>
        <v>0</v>
      </c>
      <c r="AL27" s="89">
        <f>$AI27*'Y2_3 Cash Flow Assumptions'!F27</f>
        <v>0</v>
      </c>
      <c r="AM27" s="89">
        <f>$AI27*'Y2_3 Cash Flow Assumptions'!G27</f>
        <v>0</v>
      </c>
      <c r="AN27" s="89">
        <f>$AI27*'Y2_3 Cash Flow Assumptions'!H27</f>
        <v>0</v>
      </c>
      <c r="AO27" s="89">
        <f>$AI27*'Y2_3 Cash Flow Assumptions'!I27</f>
        <v>0</v>
      </c>
      <c r="AP27" s="89">
        <f>$AI27*'Y2_3 Cash Flow Assumptions'!J27</f>
        <v>19136.25</v>
      </c>
      <c r="AQ27" s="89">
        <f>$AI27*'Y2_3 Cash Flow Assumptions'!K27</f>
        <v>0</v>
      </c>
      <c r="AR27" s="89">
        <f>$AI27*'Y2_3 Cash Flow Assumptions'!L27</f>
        <v>0</v>
      </c>
      <c r="AS27" s="89">
        <f>$AI27*'Y2_3 Cash Flow Assumptions'!M27</f>
        <v>19136.25</v>
      </c>
      <c r="AT27" s="89">
        <f>$AI27*'Y2_3 Cash Flow Assumptions'!N27</f>
        <v>0</v>
      </c>
      <c r="AU27" s="89">
        <f>$AI27*'Y2_3 Cash Flow Assumptions'!O27</f>
        <v>0</v>
      </c>
      <c r="AV27" s="89">
        <f>$AI27*'Y2_3 Cash Flow Assumptions'!P27</f>
        <v>38272.5</v>
      </c>
    </row>
    <row r="28" spans="1:49" outlineLevel="1">
      <c r="A28" s="23"/>
      <c r="B28" s="24" t="s">
        <v>34</v>
      </c>
      <c r="C28" s="89">
        <f>'Budget Summary'!C24</f>
        <v>0</v>
      </c>
      <c r="D28" s="89">
        <f>$C28*'Y1 Cash Flow Assumptions'!D28</f>
        <v>0</v>
      </c>
      <c r="E28" s="89">
        <f>$C28*'Y1 Cash Flow Assumptions'!E28</f>
        <v>0</v>
      </c>
      <c r="F28" s="89">
        <f>$C28*'Y1 Cash Flow Assumptions'!F28</f>
        <v>0</v>
      </c>
      <c r="G28" s="89">
        <f>$C28*'Y1 Cash Flow Assumptions'!G28</f>
        <v>0</v>
      </c>
      <c r="H28" s="89">
        <f>$C28*'Y1 Cash Flow Assumptions'!H28</f>
        <v>0</v>
      </c>
      <c r="I28" s="89">
        <f>$C28*'Y1 Cash Flow Assumptions'!I28</f>
        <v>0</v>
      </c>
      <c r="J28" s="89">
        <f>$C28*'Y1 Cash Flow Assumptions'!J28</f>
        <v>0</v>
      </c>
      <c r="K28" s="89">
        <f>$C28*'Y1 Cash Flow Assumptions'!K28</f>
        <v>0</v>
      </c>
      <c r="L28" s="89">
        <f>$C28*'Y1 Cash Flow Assumptions'!L28</f>
        <v>0</v>
      </c>
      <c r="M28" s="89">
        <f>$C28*'Y1 Cash Flow Assumptions'!M28</f>
        <v>0</v>
      </c>
      <c r="N28" s="89">
        <f>$C28*'Y1 Cash Flow Assumptions'!N28</f>
        <v>0</v>
      </c>
      <c r="O28" s="89">
        <f>$C28*'Y1 Cash Flow Assumptions'!O28</f>
        <v>0</v>
      </c>
      <c r="P28" s="89">
        <f>$C28*'Y1 Cash Flow Assumptions'!P28</f>
        <v>0</v>
      </c>
      <c r="S28" s="89">
        <f>'Budget Summary'!D24</f>
        <v>0</v>
      </c>
      <c r="T28" s="89">
        <f>$S28*'Y2_3 Cash Flow Assumptions'!D28</f>
        <v>0</v>
      </c>
      <c r="U28" s="89">
        <f>$S28*'Y2_3 Cash Flow Assumptions'!E28</f>
        <v>0</v>
      </c>
      <c r="V28" s="89">
        <f>$S28*'Y2_3 Cash Flow Assumptions'!F28</f>
        <v>0</v>
      </c>
      <c r="W28" s="89">
        <f>$S28*'Y2_3 Cash Flow Assumptions'!G28</f>
        <v>0</v>
      </c>
      <c r="X28" s="89">
        <f>$S28*'Y2_3 Cash Flow Assumptions'!H28</f>
        <v>0</v>
      </c>
      <c r="Y28" s="89">
        <f>$S28*'Y2_3 Cash Flow Assumptions'!I28</f>
        <v>0</v>
      </c>
      <c r="Z28" s="89">
        <f>$S28*'Y2_3 Cash Flow Assumptions'!J28</f>
        <v>0</v>
      </c>
      <c r="AA28" s="89">
        <f>$S28*'Y2_3 Cash Flow Assumptions'!K28</f>
        <v>0</v>
      </c>
      <c r="AB28" s="89">
        <f>$S28*'Y2_3 Cash Flow Assumptions'!L28</f>
        <v>0</v>
      </c>
      <c r="AC28" s="89">
        <f>$S28*'Y2_3 Cash Flow Assumptions'!M28</f>
        <v>0</v>
      </c>
      <c r="AD28" s="89">
        <f>$S28*'Y2_3 Cash Flow Assumptions'!N28</f>
        <v>0</v>
      </c>
      <c r="AE28" s="89">
        <f>$S28*'Y2_3 Cash Flow Assumptions'!O28</f>
        <v>0</v>
      </c>
      <c r="AF28" s="89">
        <f>$S28*'Y2_3 Cash Flow Assumptions'!P28</f>
        <v>0</v>
      </c>
      <c r="AI28" s="89">
        <f>'Budget Summary'!E24</f>
        <v>0</v>
      </c>
      <c r="AJ28" s="89">
        <f>$AI28*'Y2_3 Cash Flow Assumptions'!D28</f>
        <v>0</v>
      </c>
      <c r="AK28" s="89">
        <f>$AI28*'Y2_3 Cash Flow Assumptions'!E28</f>
        <v>0</v>
      </c>
      <c r="AL28" s="89">
        <f>$AI28*'Y2_3 Cash Flow Assumptions'!F28</f>
        <v>0</v>
      </c>
      <c r="AM28" s="89">
        <f>$AI28*'Y2_3 Cash Flow Assumptions'!G28</f>
        <v>0</v>
      </c>
      <c r="AN28" s="89">
        <f>$AI28*'Y2_3 Cash Flow Assumptions'!H28</f>
        <v>0</v>
      </c>
      <c r="AO28" s="89">
        <f>$AI28*'Y2_3 Cash Flow Assumptions'!I28</f>
        <v>0</v>
      </c>
      <c r="AP28" s="89">
        <f>$AI28*'Y2_3 Cash Flow Assumptions'!J28</f>
        <v>0</v>
      </c>
      <c r="AQ28" s="89">
        <f>$AI28*'Y2_3 Cash Flow Assumptions'!K28</f>
        <v>0</v>
      </c>
      <c r="AR28" s="89">
        <f>$AI28*'Y2_3 Cash Flow Assumptions'!L28</f>
        <v>0</v>
      </c>
      <c r="AS28" s="89">
        <f>$AI28*'Y2_3 Cash Flow Assumptions'!M28</f>
        <v>0</v>
      </c>
      <c r="AT28" s="89">
        <f>$AI28*'Y2_3 Cash Flow Assumptions'!N28</f>
        <v>0</v>
      </c>
      <c r="AU28" s="89">
        <f>$AI28*'Y2_3 Cash Flow Assumptions'!O28</f>
        <v>0</v>
      </c>
      <c r="AV28" s="89">
        <f>$AI28*'Y2_3 Cash Flow Assumptions'!P28</f>
        <v>0</v>
      </c>
    </row>
    <row r="29" spans="1:49" outlineLevel="1">
      <c r="A29" s="23"/>
      <c r="B29" s="24" t="s">
        <v>8</v>
      </c>
      <c r="C29" s="89">
        <f>'Budget Summary'!C25</f>
        <v>0</v>
      </c>
      <c r="D29" s="89">
        <f>$C29*'Y1 Cash Flow Assumptions'!D29</f>
        <v>0</v>
      </c>
      <c r="E29" s="89">
        <f>$C29*'Y1 Cash Flow Assumptions'!E29</f>
        <v>0</v>
      </c>
      <c r="F29" s="89">
        <f>$C29*'Y1 Cash Flow Assumptions'!F29</f>
        <v>0</v>
      </c>
      <c r="G29" s="89">
        <f>$C29*'Y1 Cash Flow Assumptions'!G29</f>
        <v>0</v>
      </c>
      <c r="H29" s="89">
        <f>$C29*'Y1 Cash Flow Assumptions'!H29</f>
        <v>0</v>
      </c>
      <c r="I29" s="89">
        <f>$C29*'Y1 Cash Flow Assumptions'!I29</f>
        <v>0</v>
      </c>
      <c r="J29" s="90">
        <f>($C29*('Y1 Cash Flow Assumptions'!G29+'Y1 Cash Flow Assumptions'!J29))-SUM(D29:I29)</f>
        <v>0</v>
      </c>
      <c r="K29" s="89">
        <f>($C29-SUM($D29:$J29))*'Y1 Cash Flow Assumptions'!K29</f>
        <v>0</v>
      </c>
      <c r="L29" s="89">
        <f>($C29-SUM($D29:$J29))*'Y1 Cash Flow Assumptions'!L29</f>
        <v>0</v>
      </c>
      <c r="M29" s="89">
        <f>($C29-SUM($D29:$J29))*'Y1 Cash Flow Assumptions'!M29</f>
        <v>0</v>
      </c>
      <c r="N29" s="89">
        <f>($C29-SUM($D29:$J29))*'Y1 Cash Flow Assumptions'!N29</f>
        <v>0</v>
      </c>
      <c r="O29" s="89">
        <f>($C29-SUM($D29:$J29))*'Y1 Cash Flow Assumptions'!O29</f>
        <v>0</v>
      </c>
      <c r="P29" s="89">
        <f>($C29-SUM($D29:$J29))*'Y1 Cash Flow Assumptions'!P29</f>
        <v>0</v>
      </c>
      <c r="S29" s="89">
        <f>'Budget Summary'!D25</f>
        <v>0</v>
      </c>
      <c r="T29" s="89">
        <f>$C29*'Y2_3 Cash Flow Assumptions'!D29</f>
        <v>0</v>
      </c>
      <c r="U29" s="89">
        <f>$C29*'Y2_3 Cash Flow Assumptions'!E29</f>
        <v>0</v>
      </c>
      <c r="V29" s="89">
        <f>$C29*'Y2_3 Cash Flow Assumptions'!F29</f>
        <v>0</v>
      </c>
      <c r="W29" s="89">
        <f>$C29*'Y2_3 Cash Flow Assumptions'!G29</f>
        <v>0</v>
      </c>
      <c r="X29" s="89">
        <f>$C29*'Y2_3 Cash Flow Assumptions'!H29</f>
        <v>0</v>
      </c>
      <c r="Y29" s="89">
        <f>$C29*'Y2_3 Cash Flow Assumptions'!I29</f>
        <v>0</v>
      </c>
      <c r="Z29" s="89">
        <f>$C29*'Y2_3 Cash Flow Assumptions'!J29</f>
        <v>0</v>
      </c>
      <c r="AA29" s="89">
        <f>$C29*'Y2_3 Cash Flow Assumptions'!K29</f>
        <v>0</v>
      </c>
      <c r="AB29" s="89">
        <f>($S29-SUM($T29:$AA29))*'Y2_3 Cash Flow Assumptions'!L29</f>
        <v>0</v>
      </c>
      <c r="AC29" s="89">
        <f>($S29-SUM($T29:$AA29))*'Y2_3 Cash Flow Assumptions'!M29</f>
        <v>0</v>
      </c>
      <c r="AD29" s="89">
        <f>($S29-SUM($T29:$AA29))*'Y2_3 Cash Flow Assumptions'!N29</f>
        <v>0</v>
      </c>
      <c r="AE29" s="89">
        <f>($S29-SUM($T29:$AA29))*'Y2_3 Cash Flow Assumptions'!O29</f>
        <v>0</v>
      </c>
      <c r="AF29" s="89">
        <f>($S29-SUM($T29:$AA29))*'Y2_3 Cash Flow Assumptions'!P29</f>
        <v>0</v>
      </c>
      <c r="AI29" s="89">
        <f>'Budget Summary'!E25</f>
        <v>0</v>
      </c>
      <c r="AJ29" s="89">
        <f>$S29*'Y2_3 Cash Flow Assumptions'!D29</f>
        <v>0</v>
      </c>
      <c r="AK29" s="89">
        <f>$S29*'Y2_3 Cash Flow Assumptions'!E29</f>
        <v>0</v>
      </c>
      <c r="AL29" s="89">
        <f>$S29*'Y2_3 Cash Flow Assumptions'!F29</f>
        <v>0</v>
      </c>
      <c r="AM29" s="89">
        <f>$S29*'Y2_3 Cash Flow Assumptions'!G29</f>
        <v>0</v>
      </c>
      <c r="AN29" s="89">
        <f>$S29*'Y2_3 Cash Flow Assumptions'!H29</f>
        <v>0</v>
      </c>
      <c r="AO29" s="89">
        <f>$S29*'Y2_3 Cash Flow Assumptions'!I29</f>
        <v>0</v>
      </c>
      <c r="AP29" s="89">
        <f>$S29*'Y2_3 Cash Flow Assumptions'!J29</f>
        <v>0</v>
      </c>
      <c r="AQ29" s="89">
        <f>$S29*'Y2_3 Cash Flow Assumptions'!K29</f>
        <v>0</v>
      </c>
      <c r="AR29" s="90">
        <f>'Y2_3 Cash Flow Assumptions'!L29*('Cash Flow Summary'!$AI29-SUM('Cash Flow Summary'!$AJ29:$AQ29))</f>
        <v>0</v>
      </c>
      <c r="AS29" s="90">
        <f>'Y2_3 Cash Flow Assumptions'!M29*('Cash Flow Summary'!$AI29-SUM('Cash Flow Summary'!$AJ29:$AQ29))</f>
        <v>0</v>
      </c>
      <c r="AT29" s="90">
        <f>'Y2_3 Cash Flow Assumptions'!N29*('Cash Flow Summary'!$AI29-SUM('Cash Flow Summary'!$AJ29:$AQ29))</f>
        <v>0</v>
      </c>
      <c r="AU29" s="90">
        <f>'Y2_3 Cash Flow Assumptions'!O29*('Cash Flow Summary'!$AI29-SUM('Cash Flow Summary'!$AJ29:$AQ29))</f>
        <v>0</v>
      </c>
      <c r="AV29" s="90">
        <f>'Y2_3 Cash Flow Assumptions'!P29*('Cash Flow Summary'!$AI29-SUM('Cash Flow Summary'!$AJ29:$AQ29))</f>
        <v>0</v>
      </c>
    </row>
    <row r="30" spans="1:49" s="23" customFormat="1">
      <c r="A30" s="23" t="s">
        <v>28</v>
      </c>
      <c r="C30" s="88">
        <f>SUM(C24:C29)</f>
        <v>68040</v>
      </c>
      <c r="D30" s="88">
        <f t="shared" ref="D30:P30" si="9">SUM(D24:D29)</f>
        <v>0</v>
      </c>
      <c r="E30" s="88">
        <f t="shared" si="9"/>
        <v>0</v>
      </c>
      <c r="F30" s="88">
        <f t="shared" si="9"/>
        <v>0</v>
      </c>
      <c r="G30" s="88">
        <f t="shared" si="9"/>
        <v>0</v>
      </c>
      <c r="H30" s="88">
        <f t="shared" si="9"/>
        <v>0</v>
      </c>
      <c r="I30" s="88">
        <f t="shared" si="9"/>
        <v>0</v>
      </c>
      <c r="J30" s="88">
        <f t="shared" si="9"/>
        <v>0</v>
      </c>
      <c r="K30" s="88">
        <f t="shared" si="9"/>
        <v>0</v>
      </c>
      <c r="L30" s="88">
        <f t="shared" si="9"/>
        <v>0</v>
      </c>
      <c r="M30" s="88">
        <f t="shared" si="9"/>
        <v>0</v>
      </c>
      <c r="N30" s="88">
        <f t="shared" si="9"/>
        <v>0</v>
      </c>
      <c r="O30" s="88">
        <f t="shared" si="9"/>
        <v>0</v>
      </c>
      <c r="P30" s="88">
        <f t="shared" si="9"/>
        <v>68040</v>
      </c>
      <c r="Q30" s="103"/>
      <c r="S30" s="88">
        <f>SUM(S24:S29)</f>
        <v>77692.5</v>
      </c>
      <c r="T30" s="88">
        <f t="shared" ref="T30:AF30" si="10">SUM(T24:T29)</f>
        <v>0</v>
      </c>
      <c r="U30" s="88">
        <f t="shared" si="10"/>
        <v>0</v>
      </c>
      <c r="V30" s="88">
        <f t="shared" si="10"/>
        <v>0</v>
      </c>
      <c r="W30" s="88">
        <f t="shared" si="10"/>
        <v>0</v>
      </c>
      <c r="X30" s="88">
        <f t="shared" si="10"/>
        <v>0</v>
      </c>
      <c r="Y30" s="88">
        <f t="shared" si="10"/>
        <v>5400</v>
      </c>
      <c r="Z30" s="88">
        <f t="shared" si="10"/>
        <v>18073.125</v>
      </c>
      <c r="AA30" s="88">
        <f t="shared" si="10"/>
        <v>0</v>
      </c>
      <c r="AB30" s="88">
        <f t="shared" si="10"/>
        <v>0</v>
      </c>
      <c r="AC30" s="88">
        <f t="shared" si="10"/>
        <v>18073.125</v>
      </c>
      <c r="AD30" s="88">
        <f t="shared" si="10"/>
        <v>0</v>
      </c>
      <c r="AE30" s="88">
        <f t="shared" si="10"/>
        <v>0</v>
      </c>
      <c r="AF30" s="88">
        <f t="shared" si="10"/>
        <v>36146.25</v>
      </c>
      <c r="AG30" s="103"/>
      <c r="AI30" s="88">
        <f>SUM(AI24:AI29)</f>
        <v>81980.324999999997</v>
      </c>
      <c r="AJ30" s="88">
        <f t="shared" ref="AJ30:AV30" si="11">SUM(AJ24:AJ29)</f>
        <v>0</v>
      </c>
      <c r="AK30" s="88">
        <f t="shared" si="11"/>
        <v>0</v>
      </c>
      <c r="AL30" s="88">
        <f t="shared" si="11"/>
        <v>0</v>
      </c>
      <c r="AM30" s="88">
        <f t="shared" si="11"/>
        <v>0</v>
      </c>
      <c r="AN30" s="88">
        <f t="shared" si="11"/>
        <v>0</v>
      </c>
      <c r="AO30" s="88">
        <f t="shared" si="11"/>
        <v>5435.3250000000007</v>
      </c>
      <c r="AP30" s="88">
        <f t="shared" si="11"/>
        <v>19136.25</v>
      </c>
      <c r="AQ30" s="88">
        <f t="shared" si="11"/>
        <v>0</v>
      </c>
      <c r="AR30" s="88">
        <f t="shared" si="11"/>
        <v>0</v>
      </c>
      <c r="AS30" s="88">
        <f t="shared" si="11"/>
        <v>19136.25</v>
      </c>
      <c r="AT30" s="88">
        <f t="shared" si="11"/>
        <v>0</v>
      </c>
      <c r="AU30" s="88">
        <f t="shared" si="11"/>
        <v>0</v>
      </c>
      <c r="AV30" s="88">
        <f t="shared" si="11"/>
        <v>38272.5</v>
      </c>
      <c r="AW30" s="83"/>
    </row>
    <row r="31" spans="1:49" outlineLevel="1">
      <c r="A31" s="23" t="s">
        <v>39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</row>
    <row r="32" spans="1:49" outlineLevel="1">
      <c r="A32" s="23"/>
      <c r="B32" s="24" t="s">
        <v>9</v>
      </c>
      <c r="C32" s="89">
        <f>'Budget Summary'!C28</f>
        <v>0</v>
      </c>
      <c r="D32" s="89">
        <f>$C32*'Y1 Cash Flow Assumptions'!D32</f>
        <v>0</v>
      </c>
      <c r="E32" s="89">
        <f>$C32*'Y1 Cash Flow Assumptions'!E32</f>
        <v>0</v>
      </c>
      <c r="F32" s="89">
        <f>$C32*'Y1 Cash Flow Assumptions'!F32</f>
        <v>0</v>
      </c>
      <c r="G32" s="89">
        <f>$C32*'Y1 Cash Flow Assumptions'!G32</f>
        <v>0</v>
      </c>
      <c r="H32" s="89">
        <f>$C32*'Y1 Cash Flow Assumptions'!H32</f>
        <v>0</v>
      </c>
      <c r="I32" s="89">
        <f>$C32*'Y1 Cash Flow Assumptions'!I32</f>
        <v>0</v>
      </c>
      <c r="J32" s="89">
        <f>$C32*'Y1 Cash Flow Assumptions'!J32</f>
        <v>0</v>
      </c>
      <c r="K32" s="89">
        <f>$C32*'Y1 Cash Flow Assumptions'!K32</f>
        <v>0</v>
      </c>
      <c r="L32" s="89">
        <f>$C32*'Y1 Cash Flow Assumptions'!L32</f>
        <v>0</v>
      </c>
      <c r="M32" s="89">
        <f>$C32*'Y1 Cash Flow Assumptions'!M32</f>
        <v>0</v>
      </c>
      <c r="N32" s="89">
        <f>$C32*'Y1 Cash Flow Assumptions'!N32</f>
        <v>0</v>
      </c>
      <c r="O32" s="89">
        <f>$C32*'Y1 Cash Flow Assumptions'!O32</f>
        <v>0</v>
      </c>
      <c r="P32" s="89">
        <f>$C32*'Y1 Cash Flow Assumptions'!P32</f>
        <v>0</v>
      </c>
      <c r="S32" s="89">
        <f>'Budget Summary'!D28</f>
        <v>0</v>
      </c>
      <c r="T32" s="89">
        <f>$S32*'Y2_3 Cash Flow Assumptions'!D32</f>
        <v>0</v>
      </c>
      <c r="U32" s="89">
        <f>$S32*'Y2_3 Cash Flow Assumptions'!E32</f>
        <v>0</v>
      </c>
      <c r="V32" s="89">
        <f>$S32*'Y2_3 Cash Flow Assumptions'!F32</f>
        <v>0</v>
      </c>
      <c r="W32" s="89">
        <f>$S32*'Y2_3 Cash Flow Assumptions'!G32</f>
        <v>0</v>
      </c>
      <c r="X32" s="89">
        <f>$S32*'Y2_3 Cash Flow Assumptions'!H32</f>
        <v>0</v>
      </c>
      <c r="Y32" s="89">
        <f>$S32*'Y2_3 Cash Flow Assumptions'!I32</f>
        <v>0</v>
      </c>
      <c r="Z32" s="89">
        <f>$S32*'Y2_3 Cash Flow Assumptions'!J32</f>
        <v>0</v>
      </c>
      <c r="AA32" s="89">
        <f>$S32*'Y2_3 Cash Flow Assumptions'!K32</f>
        <v>0</v>
      </c>
      <c r="AB32" s="89">
        <f>$S32*'Y2_3 Cash Flow Assumptions'!L32</f>
        <v>0</v>
      </c>
      <c r="AC32" s="89">
        <f>$S32*'Y2_3 Cash Flow Assumptions'!M32</f>
        <v>0</v>
      </c>
      <c r="AD32" s="89">
        <f>$S32*'Y2_3 Cash Flow Assumptions'!N32</f>
        <v>0</v>
      </c>
      <c r="AE32" s="89">
        <f>$S32*'Y2_3 Cash Flow Assumptions'!O32</f>
        <v>0</v>
      </c>
      <c r="AF32" s="89">
        <f>$S32*'Y2_3 Cash Flow Assumptions'!P32</f>
        <v>0</v>
      </c>
      <c r="AI32" s="89">
        <f>'Budget Summary'!E28</f>
        <v>0</v>
      </c>
      <c r="AJ32" s="89">
        <f>$AI32*'Y2_3 Cash Flow Assumptions'!D32</f>
        <v>0</v>
      </c>
      <c r="AK32" s="89">
        <f>$AI32*'Y2_3 Cash Flow Assumptions'!E32</f>
        <v>0</v>
      </c>
      <c r="AL32" s="89">
        <f>$AI32*'Y2_3 Cash Flow Assumptions'!F32</f>
        <v>0</v>
      </c>
      <c r="AM32" s="89">
        <f>$AI32*'Y2_3 Cash Flow Assumptions'!G32</f>
        <v>0</v>
      </c>
      <c r="AN32" s="89">
        <f>$AI32*'Y2_3 Cash Flow Assumptions'!H32</f>
        <v>0</v>
      </c>
      <c r="AO32" s="89">
        <f>$AI32*'Y2_3 Cash Flow Assumptions'!I32</f>
        <v>0</v>
      </c>
      <c r="AP32" s="89">
        <f>$AI32*'Y2_3 Cash Flow Assumptions'!J32</f>
        <v>0</v>
      </c>
      <c r="AQ32" s="89">
        <f>$AI32*'Y2_3 Cash Flow Assumptions'!K32</f>
        <v>0</v>
      </c>
      <c r="AR32" s="89">
        <f>$AI32*'Y2_3 Cash Flow Assumptions'!L32</f>
        <v>0</v>
      </c>
      <c r="AS32" s="89">
        <f>$AI32*'Y2_3 Cash Flow Assumptions'!M32</f>
        <v>0</v>
      </c>
      <c r="AT32" s="89">
        <f>$AI32*'Y2_3 Cash Flow Assumptions'!N32</f>
        <v>0</v>
      </c>
      <c r="AU32" s="89">
        <f>$AI32*'Y2_3 Cash Flow Assumptions'!O32</f>
        <v>0</v>
      </c>
      <c r="AV32" s="89">
        <f>$AI32*'Y2_3 Cash Flow Assumptions'!P32</f>
        <v>0</v>
      </c>
    </row>
    <row r="33" spans="1:49" outlineLevel="1">
      <c r="A33" s="23"/>
      <c r="B33" s="24" t="s">
        <v>11</v>
      </c>
      <c r="C33" s="89">
        <f>'Budget Summary'!C29</f>
        <v>0</v>
      </c>
      <c r="D33" s="89">
        <f>$C33*'Y1 Cash Flow Assumptions'!D33</f>
        <v>0</v>
      </c>
      <c r="E33" s="89">
        <f>$C33*'Y1 Cash Flow Assumptions'!E33</f>
        <v>0</v>
      </c>
      <c r="F33" s="89">
        <f>$C33*'Y1 Cash Flow Assumptions'!F33</f>
        <v>0</v>
      </c>
      <c r="G33" s="89">
        <f>$C33*'Y1 Cash Flow Assumptions'!G33</f>
        <v>0</v>
      </c>
      <c r="H33" s="89">
        <f>$C33*'Y1 Cash Flow Assumptions'!H33</f>
        <v>0</v>
      </c>
      <c r="I33" s="89">
        <f>$C33*'Y1 Cash Flow Assumptions'!I33</f>
        <v>0</v>
      </c>
      <c r="J33" s="89">
        <f>$C33*'Y1 Cash Flow Assumptions'!J33</f>
        <v>0</v>
      </c>
      <c r="K33" s="89">
        <f>$C33*'Y1 Cash Flow Assumptions'!K33</f>
        <v>0</v>
      </c>
      <c r="L33" s="89">
        <f>$C33*'Y1 Cash Flow Assumptions'!L33</f>
        <v>0</v>
      </c>
      <c r="M33" s="89">
        <f>$C33*'Y1 Cash Flow Assumptions'!M33</f>
        <v>0</v>
      </c>
      <c r="N33" s="89">
        <f>$C33*'Y1 Cash Flow Assumptions'!N33</f>
        <v>0</v>
      </c>
      <c r="O33" s="89">
        <f>$C33*'Y1 Cash Flow Assumptions'!O33</f>
        <v>0</v>
      </c>
      <c r="P33" s="89">
        <f>$C33*'Y1 Cash Flow Assumptions'!P33</f>
        <v>0</v>
      </c>
      <c r="S33" s="89">
        <f>'Budget Summary'!D29</f>
        <v>0</v>
      </c>
      <c r="T33" s="89">
        <f>$S33*'Y2_3 Cash Flow Assumptions'!D33</f>
        <v>0</v>
      </c>
      <c r="U33" s="89">
        <f>$S33*'Y2_3 Cash Flow Assumptions'!E33</f>
        <v>0</v>
      </c>
      <c r="V33" s="89">
        <f>$S33*'Y2_3 Cash Flow Assumptions'!F33</f>
        <v>0</v>
      </c>
      <c r="W33" s="89">
        <f>$S33*'Y2_3 Cash Flow Assumptions'!G33</f>
        <v>0</v>
      </c>
      <c r="X33" s="89">
        <f>$S33*'Y2_3 Cash Flow Assumptions'!H33</f>
        <v>0</v>
      </c>
      <c r="Y33" s="89">
        <f>$S33*'Y2_3 Cash Flow Assumptions'!I33</f>
        <v>0</v>
      </c>
      <c r="Z33" s="89">
        <f>$S33*'Y2_3 Cash Flow Assumptions'!J33</f>
        <v>0</v>
      </c>
      <c r="AA33" s="89">
        <f>$S33*'Y2_3 Cash Flow Assumptions'!K33</f>
        <v>0</v>
      </c>
      <c r="AB33" s="89">
        <f>$S33*'Y2_3 Cash Flow Assumptions'!L33</f>
        <v>0</v>
      </c>
      <c r="AC33" s="89">
        <f>$S33*'Y2_3 Cash Flow Assumptions'!M33</f>
        <v>0</v>
      </c>
      <c r="AD33" s="89">
        <f>$S33*'Y2_3 Cash Flow Assumptions'!N33</f>
        <v>0</v>
      </c>
      <c r="AE33" s="89">
        <f>$S33*'Y2_3 Cash Flow Assumptions'!O33</f>
        <v>0</v>
      </c>
      <c r="AF33" s="89">
        <f>$S33*'Y2_3 Cash Flow Assumptions'!P33</f>
        <v>0</v>
      </c>
      <c r="AI33" s="89">
        <f>'Budget Summary'!E29</f>
        <v>0</v>
      </c>
      <c r="AJ33" s="89">
        <f>$AI33*'Y2_3 Cash Flow Assumptions'!D33</f>
        <v>0</v>
      </c>
      <c r="AK33" s="89">
        <f>$AI33*'Y2_3 Cash Flow Assumptions'!E33</f>
        <v>0</v>
      </c>
      <c r="AL33" s="89">
        <f>$AI33*'Y2_3 Cash Flow Assumptions'!F33</f>
        <v>0</v>
      </c>
      <c r="AM33" s="89">
        <f>$AI33*'Y2_3 Cash Flow Assumptions'!G33</f>
        <v>0</v>
      </c>
      <c r="AN33" s="89">
        <f>$AI33*'Y2_3 Cash Flow Assumptions'!H33</f>
        <v>0</v>
      </c>
      <c r="AO33" s="89">
        <f>$AI33*'Y2_3 Cash Flow Assumptions'!I33</f>
        <v>0</v>
      </c>
      <c r="AP33" s="89">
        <f>$AI33*'Y2_3 Cash Flow Assumptions'!J33</f>
        <v>0</v>
      </c>
      <c r="AQ33" s="89">
        <f>$AI33*'Y2_3 Cash Flow Assumptions'!K33</f>
        <v>0</v>
      </c>
      <c r="AR33" s="89">
        <f>$AI33*'Y2_3 Cash Flow Assumptions'!L33</f>
        <v>0</v>
      </c>
      <c r="AS33" s="89">
        <f>$AI33*'Y2_3 Cash Flow Assumptions'!M33</f>
        <v>0</v>
      </c>
      <c r="AT33" s="89">
        <f>$AI33*'Y2_3 Cash Flow Assumptions'!N33</f>
        <v>0</v>
      </c>
      <c r="AU33" s="89">
        <f>$AI33*'Y2_3 Cash Flow Assumptions'!O33</f>
        <v>0</v>
      </c>
      <c r="AV33" s="89">
        <f>$AI33*'Y2_3 Cash Flow Assumptions'!P33</f>
        <v>0</v>
      </c>
    </row>
    <row r="34" spans="1:49" outlineLevel="1">
      <c r="A34" s="23"/>
      <c r="B34" s="24" t="s">
        <v>12</v>
      </c>
      <c r="C34" s="89">
        <f>'Budget Summary'!C30</f>
        <v>20000</v>
      </c>
      <c r="D34" s="89">
        <f>$C34*'Y1 Cash Flow Assumptions'!D34</f>
        <v>0</v>
      </c>
      <c r="E34" s="89">
        <f>$C34*'Y1 Cash Flow Assumptions'!E34</f>
        <v>0</v>
      </c>
      <c r="F34" s="89">
        <f>$C34*'Y1 Cash Flow Assumptions'!F34</f>
        <v>0</v>
      </c>
      <c r="G34" s="89">
        <f>$C34*'Y1 Cash Flow Assumptions'!G34</f>
        <v>0</v>
      </c>
      <c r="H34" s="89">
        <f>$C34*'Y1 Cash Flow Assumptions'!H34</f>
        <v>0</v>
      </c>
      <c r="I34" s="89">
        <f>$C34*'Y1 Cash Flow Assumptions'!I34</f>
        <v>0</v>
      </c>
      <c r="J34" s="89">
        <f>$C34*'Y1 Cash Flow Assumptions'!J34</f>
        <v>0</v>
      </c>
      <c r="K34" s="89">
        <f>$C34*'Y1 Cash Flow Assumptions'!K34</f>
        <v>3333.333333333333</v>
      </c>
      <c r="L34" s="89">
        <f>$C34*'Y1 Cash Flow Assumptions'!L34</f>
        <v>3333.333333333333</v>
      </c>
      <c r="M34" s="89">
        <f>$C34*'Y1 Cash Flow Assumptions'!M34</f>
        <v>3333.333333333333</v>
      </c>
      <c r="N34" s="89">
        <f>$C34*'Y1 Cash Flow Assumptions'!N34</f>
        <v>3333.333333333333</v>
      </c>
      <c r="O34" s="89">
        <f>$C34*'Y1 Cash Flow Assumptions'!O34</f>
        <v>3333.333333333333</v>
      </c>
      <c r="P34" s="89">
        <f>$C34*'Y1 Cash Flow Assumptions'!P34</f>
        <v>3333.333333333333</v>
      </c>
      <c r="S34" s="89">
        <f>'Budget Summary'!D30</f>
        <v>20000</v>
      </c>
      <c r="T34" s="89">
        <f>$S34*'Y2_3 Cash Flow Assumptions'!D34</f>
        <v>0</v>
      </c>
      <c r="U34" s="89">
        <f>$S34*'Y2_3 Cash Flow Assumptions'!E34</f>
        <v>0</v>
      </c>
      <c r="V34" s="89">
        <f>$S34*'Y2_3 Cash Flow Assumptions'!F34</f>
        <v>0</v>
      </c>
      <c r="W34" s="89">
        <f>$S34*'Y2_3 Cash Flow Assumptions'!G34</f>
        <v>0</v>
      </c>
      <c r="X34" s="89">
        <f>$S34*'Y2_3 Cash Flow Assumptions'!H34</f>
        <v>0</v>
      </c>
      <c r="Y34" s="89">
        <f>$S34*'Y2_3 Cash Flow Assumptions'!I34</f>
        <v>0</v>
      </c>
      <c r="Z34" s="89">
        <f>$S34*'Y2_3 Cash Flow Assumptions'!J34</f>
        <v>0</v>
      </c>
      <c r="AA34" s="89">
        <f>$S34*'Y2_3 Cash Flow Assumptions'!K34</f>
        <v>3333.333333333333</v>
      </c>
      <c r="AB34" s="89">
        <f>$S34*'Y2_3 Cash Flow Assumptions'!L34</f>
        <v>3333.333333333333</v>
      </c>
      <c r="AC34" s="89">
        <f>$S34*'Y2_3 Cash Flow Assumptions'!M34</f>
        <v>3333.333333333333</v>
      </c>
      <c r="AD34" s="89">
        <f>$S34*'Y2_3 Cash Flow Assumptions'!N34</f>
        <v>3333.333333333333</v>
      </c>
      <c r="AE34" s="89">
        <f>$S34*'Y2_3 Cash Flow Assumptions'!O34</f>
        <v>3333.333333333333</v>
      </c>
      <c r="AF34" s="89">
        <f>$S34*'Y2_3 Cash Flow Assumptions'!P34</f>
        <v>3333.333333333333</v>
      </c>
      <c r="AI34" s="89">
        <f>'Budget Summary'!E30</f>
        <v>20000</v>
      </c>
      <c r="AJ34" s="89">
        <f>$AI34*'Y2_3 Cash Flow Assumptions'!D34</f>
        <v>0</v>
      </c>
      <c r="AK34" s="89">
        <f>$AI34*'Y2_3 Cash Flow Assumptions'!E34</f>
        <v>0</v>
      </c>
      <c r="AL34" s="89">
        <f>$AI34*'Y2_3 Cash Flow Assumptions'!F34</f>
        <v>0</v>
      </c>
      <c r="AM34" s="89">
        <f>$AI34*'Y2_3 Cash Flow Assumptions'!G34</f>
        <v>0</v>
      </c>
      <c r="AN34" s="89">
        <f>$AI34*'Y2_3 Cash Flow Assumptions'!H34</f>
        <v>0</v>
      </c>
      <c r="AO34" s="89">
        <f>$AI34*'Y2_3 Cash Flow Assumptions'!I34</f>
        <v>0</v>
      </c>
      <c r="AP34" s="89">
        <f>$AI34*'Y2_3 Cash Flow Assumptions'!J34</f>
        <v>0</v>
      </c>
      <c r="AQ34" s="89">
        <f>$AI34*'Y2_3 Cash Flow Assumptions'!K34</f>
        <v>3333.333333333333</v>
      </c>
      <c r="AR34" s="89">
        <f>$AI34*'Y2_3 Cash Flow Assumptions'!L34</f>
        <v>3333.333333333333</v>
      </c>
      <c r="AS34" s="89">
        <f>$AI34*'Y2_3 Cash Flow Assumptions'!M34</f>
        <v>3333.333333333333</v>
      </c>
      <c r="AT34" s="89">
        <f>$AI34*'Y2_3 Cash Flow Assumptions'!N34</f>
        <v>3333.333333333333</v>
      </c>
      <c r="AU34" s="89">
        <f>$AI34*'Y2_3 Cash Flow Assumptions'!O34</f>
        <v>3333.333333333333</v>
      </c>
      <c r="AV34" s="89">
        <f>$AI34*'Y2_3 Cash Flow Assumptions'!P34</f>
        <v>3333.333333333333</v>
      </c>
    </row>
    <row r="35" spans="1:49" outlineLevel="1">
      <c r="A35" s="23"/>
      <c r="B35" s="24" t="s">
        <v>10</v>
      </c>
      <c r="C35" s="89">
        <f>'Budget Summary'!C31</f>
        <v>5000</v>
      </c>
      <c r="D35" s="89">
        <f>$C35*'Y1 Cash Flow Assumptions'!D35</f>
        <v>0</v>
      </c>
      <c r="E35" s="89">
        <f>$C35*'Y1 Cash Flow Assumptions'!E35</f>
        <v>0</v>
      </c>
      <c r="F35" s="89">
        <f>$C35*'Y1 Cash Flow Assumptions'!F35</f>
        <v>0</v>
      </c>
      <c r="G35" s="89">
        <f>$C35*'Y1 Cash Flow Assumptions'!G35</f>
        <v>0</v>
      </c>
      <c r="H35" s="89">
        <f>$C35*'Y1 Cash Flow Assumptions'!H35</f>
        <v>0</v>
      </c>
      <c r="I35" s="89">
        <f>$C35*'Y1 Cash Flow Assumptions'!I35</f>
        <v>0</v>
      </c>
      <c r="J35" s="89">
        <f>$C35*'Y1 Cash Flow Assumptions'!J35</f>
        <v>0</v>
      </c>
      <c r="K35" s="89">
        <f>$C35*'Y1 Cash Flow Assumptions'!K35</f>
        <v>833.33333333333326</v>
      </c>
      <c r="L35" s="89">
        <f>$C35*'Y1 Cash Flow Assumptions'!L35</f>
        <v>833.33333333333326</v>
      </c>
      <c r="M35" s="89">
        <f>$C35*'Y1 Cash Flow Assumptions'!M35</f>
        <v>833.33333333333326</v>
      </c>
      <c r="N35" s="89">
        <f>$C35*'Y1 Cash Flow Assumptions'!N35</f>
        <v>833.33333333333326</v>
      </c>
      <c r="O35" s="89">
        <f>$C35*'Y1 Cash Flow Assumptions'!O35</f>
        <v>833.33333333333326</v>
      </c>
      <c r="P35" s="89">
        <f>$C35*'Y1 Cash Flow Assumptions'!P35</f>
        <v>833.33333333333326</v>
      </c>
      <c r="S35" s="89">
        <f>'Budget Summary'!D31</f>
        <v>5000</v>
      </c>
      <c r="T35" s="89">
        <f>$S35*'Y2_3 Cash Flow Assumptions'!D35</f>
        <v>0</v>
      </c>
      <c r="U35" s="89">
        <f>$S35*'Y2_3 Cash Flow Assumptions'!E35</f>
        <v>0</v>
      </c>
      <c r="V35" s="89">
        <f>$S35*'Y2_3 Cash Flow Assumptions'!F35</f>
        <v>0</v>
      </c>
      <c r="W35" s="89">
        <f>$S35*'Y2_3 Cash Flow Assumptions'!G35</f>
        <v>0</v>
      </c>
      <c r="X35" s="89">
        <f>$S35*'Y2_3 Cash Flow Assumptions'!H35</f>
        <v>0</v>
      </c>
      <c r="Y35" s="89">
        <f>$S35*'Y2_3 Cash Flow Assumptions'!I35</f>
        <v>0</v>
      </c>
      <c r="Z35" s="89">
        <f>$S35*'Y2_3 Cash Flow Assumptions'!J35</f>
        <v>0</v>
      </c>
      <c r="AA35" s="89">
        <f>$S35*'Y2_3 Cash Flow Assumptions'!K35</f>
        <v>833.33333333333326</v>
      </c>
      <c r="AB35" s="89">
        <f>$S35*'Y2_3 Cash Flow Assumptions'!L35</f>
        <v>833.33333333333326</v>
      </c>
      <c r="AC35" s="89">
        <f>$S35*'Y2_3 Cash Flow Assumptions'!M35</f>
        <v>833.33333333333326</v>
      </c>
      <c r="AD35" s="89">
        <f>$S35*'Y2_3 Cash Flow Assumptions'!N35</f>
        <v>833.33333333333326</v>
      </c>
      <c r="AE35" s="89">
        <f>$S35*'Y2_3 Cash Flow Assumptions'!O35</f>
        <v>833.33333333333326</v>
      </c>
      <c r="AF35" s="89">
        <f>$S35*'Y2_3 Cash Flow Assumptions'!P35</f>
        <v>833.33333333333326</v>
      </c>
      <c r="AI35" s="89">
        <f>'Budget Summary'!E31</f>
        <v>5000</v>
      </c>
      <c r="AJ35" s="89">
        <f>$AI35*'Y2_3 Cash Flow Assumptions'!D35</f>
        <v>0</v>
      </c>
      <c r="AK35" s="89">
        <f>$AI35*'Y2_3 Cash Flow Assumptions'!E35</f>
        <v>0</v>
      </c>
      <c r="AL35" s="89">
        <f>$AI35*'Y2_3 Cash Flow Assumptions'!F35</f>
        <v>0</v>
      </c>
      <c r="AM35" s="89">
        <f>$AI35*'Y2_3 Cash Flow Assumptions'!G35</f>
        <v>0</v>
      </c>
      <c r="AN35" s="89">
        <f>$AI35*'Y2_3 Cash Flow Assumptions'!H35</f>
        <v>0</v>
      </c>
      <c r="AO35" s="89">
        <f>$AI35*'Y2_3 Cash Flow Assumptions'!I35</f>
        <v>0</v>
      </c>
      <c r="AP35" s="89">
        <f>$AI35*'Y2_3 Cash Flow Assumptions'!J35</f>
        <v>0</v>
      </c>
      <c r="AQ35" s="89">
        <f>$AI35*'Y2_3 Cash Flow Assumptions'!K35</f>
        <v>833.33333333333326</v>
      </c>
      <c r="AR35" s="89">
        <f>$AI35*'Y2_3 Cash Flow Assumptions'!L35</f>
        <v>833.33333333333326</v>
      </c>
      <c r="AS35" s="89">
        <f>$AI35*'Y2_3 Cash Flow Assumptions'!M35</f>
        <v>833.33333333333326</v>
      </c>
      <c r="AT35" s="89">
        <f>$AI35*'Y2_3 Cash Flow Assumptions'!N35</f>
        <v>833.33333333333326</v>
      </c>
      <c r="AU35" s="89">
        <f>$AI35*'Y2_3 Cash Flow Assumptions'!O35</f>
        <v>833.33333333333326</v>
      </c>
      <c r="AV35" s="89">
        <f>$AI35*'Y2_3 Cash Flow Assumptions'!P35</f>
        <v>833.33333333333326</v>
      </c>
    </row>
    <row r="36" spans="1:49" s="23" customFormat="1">
      <c r="A36" s="23" t="s">
        <v>39</v>
      </c>
      <c r="C36" s="88">
        <f>SUM(C32:C35)</f>
        <v>25000</v>
      </c>
      <c r="D36" s="88">
        <f t="shared" ref="D36:P36" si="12">SUM(D32:D35)</f>
        <v>0</v>
      </c>
      <c r="E36" s="88">
        <f t="shared" si="12"/>
        <v>0</v>
      </c>
      <c r="F36" s="88">
        <f t="shared" si="12"/>
        <v>0</v>
      </c>
      <c r="G36" s="88">
        <f t="shared" si="12"/>
        <v>0</v>
      </c>
      <c r="H36" s="88">
        <f t="shared" si="12"/>
        <v>0</v>
      </c>
      <c r="I36" s="88">
        <f t="shared" si="12"/>
        <v>0</v>
      </c>
      <c r="J36" s="88">
        <f t="shared" si="12"/>
        <v>0</v>
      </c>
      <c r="K36" s="88">
        <f t="shared" si="12"/>
        <v>4166.6666666666661</v>
      </c>
      <c r="L36" s="88">
        <f t="shared" si="12"/>
        <v>4166.6666666666661</v>
      </c>
      <c r="M36" s="88">
        <f t="shared" si="12"/>
        <v>4166.6666666666661</v>
      </c>
      <c r="N36" s="88">
        <f t="shared" si="12"/>
        <v>4166.6666666666661</v>
      </c>
      <c r="O36" s="88">
        <f t="shared" si="12"/>
        <v>4166.6666666666661</v>
      </c>
      <c r="P36" s="88">
        <f t="shared" si="12"/>
        <v>4166.6666666666661</v>
      </c>
      <c r="Q36" s="103"/>
      <c r="S36" s="88">
        <f>SUM(S32:S35)</f>
        <v>25000</v>
      </c>
      <c r="T36" s="88">
        <f t="shared" ref="T36:AF36" si="13">SUM(T32:T35)</f>
        <v>0</v>
      </c>
      <c r="U36" s="88">
        <f t="shared" si="13"/>
        <v>0</v>
      </c>
      <c r="V36" s="88">
        <f t="shared" si="13"/>
        <v>0</v>
      </c>
      <c r="W36" s="88">
        <f t="shared" si="13"/>
        <v>0</v>
      </c>
      <c r="X36" s="88">
        <f t="shared" si="13"/>
        <v>0</v>
      </c>
      <c r="Y36" s="88">
        <f t="shared" si="13"/>
        <v>0</v>
      </c>
      <c r="Z36" s="88">
        <f t="shared" si="13"/>
        <v>0</v>
      </c>
      <c r="AA36" s="88">
        <f t="shared" si="13"/>
        <v>4166.6666666666661</v>
      </c>
      <c r="AB36" s="88">
        <f t="shared" si="13"/>
        <v>4166.6666666666661</v>
      </c>
      <c r="AC36" s="88">
        <f t="shared" si="13"/>
        <v>4166.6666666666661</v>
      </c>
      <c r="AD36" s="88">
        <f t="shared" si="13"/>
        <v>4166.6666666666661</v>
      </c>
      <c r="AE36" s="88">
        <f t="shared" si="13"/>
        <v>4166.6666666666661</v>
      </c>
      <c r="AF36" s="88">
        <f t="shared" si="13"/>
        <v>4166.6666666666661</v>
      </c>
      <c r="AG36" s="103"/>
      <c r="AI36" s="88">
        <f>SUM(AI32:AI35)</f>
        <v>25000</v>
      </c>
      <c r="AJ36" s="88">
        <f t="shared" ref="AJ36:AV36" si="14">SUM(AJ32:AJ35)</f>
        <v>0</v>
      </c>
      <c r="AK36" s="88">
        <f t="shared" si="14"/>
        <v>0</v>
      </c>
      <c r="AL36" s="88">
        <f t="shared" si="14"/>
        <v>0</v>
      </c>
      <c r="AM36" s="88">
        <f t="shared" si="14"/>
        <v>0</v>
      </c>
      <c r="AN36" s="88">
        <f t="shared" si="14"/>
        <v>0</v>
      </c>
      <c r="AO36" s="88">
        <f t="shared" si="14"/>
        <v>0</v>
      </c>
      <c r="AP36" s="88">
        <f t="shared" si="14"/>
        <v>0</v>
      </c>
      <c r="AQ36" s="88">
        <f t="shared" si="14"/>
        <v>4166.6666666666661</v>
      </c>
      <c r="AR36" s="88">
        <f t="shared" si="14"/>
        <v>4166.6666666666661</v>
      </c>
      <c r="AS36" s="88">
        <f t="shared" si="14"/>
        <v>4166.6666666666661</v>
      </c>
      <c r="AT36" s="88">
        <f t="shared" si="14"/>
        <v>4166.6666666666661</v>
      </c>
      <c r="AU36" s="88">
        <f t="shared" si="14"/>
        <v>4166.6666666666661</v>
      </c>
      <c r="AV36" s="88">
        <f t="shared" si="14"/>
        <v>4166.6666666666661</v>
      </c>
      <c r="AW36" s="83"/>
    </row>
    <row r="37" spans="1:49" s="23" customFormat="1">
      <c r="A37" s="23" t="s">
        <v>0</v>
      </c>
      <c r="C37" s="106">
        <f>SUM(C13,C22,C30,C36)</f>
        <v>3189726.2415999998</v>
      </c>
      <c r="D37" s="106">
        <f t="shared" ref="D37:P37" si="15">SUM(D13,D22,D30,D36)</f>
        <v>0</v>
      </c>
      <c r="E37" s="106">
        <f t="shared" si="15"/>
        <v>0</v>
      </c>
      <c r="F37" s="106">
        <f t="shared" si="15"/>
        <v>0</v>
      </c>
      <c r="G37" s="106">
        <f t="shared" si="15"/>
        <v>1025479.0293919999</v>
      </c>
      <c r="H37" s="106">
        <f t="shared" si="15"/>
        <v>52892.064000000006</v>
      </c>
      <c r="I37" s="106">
        <f t="shared" si="15"/>
        <v>52892.064000000006</v>
      </c>
      <c r="J37" s="106">
        <f t="shared" si="15"/>
        <v>477390.3554880002</v>
      </c>
      <c r="K37" s="106">
        <f t="shared" si="15"/>
        <v>57058.73066666667</v>
      </c>
      <c r="L37" s="106">
        <f t="shared" si="15"/>
        <v>299976.92441066663</v>
      </c>
      <c r="M37" s="106">
        <f t="shared" si="15"/>
        <v>271696.36841066665</v>
      </c>
      <c r="N37" s="106">
        <f t="shared" si="15"/>
        <v>253696.36841066662</v>
      </c>
      <c r="O37" s="106">
        <f t="shared" si="15"/>
        <v>253696.36841066662</v>
      </c>
      <c r="P37" s="106">
        <f t="shared" si="15"/>
        <v>444947.96841066662</v>
      </c>
      <c r="Q37" s="103"/>
      <c r="S37" s="88">
        <f>SUM(S13,S22,S30,S36)</f>
        <v>3439499.2482000003</v>
      </c>
      <c r="T37" s="88">
        <f t="shared" ref="T37:AF37" si="16">SUM(T13,T22,T30,T36)</f>
        <v>0</v>
      </c>
      <c r="U37" s="88">
        <f t="shared" si="16"/>
        <v>152585.24008000002</v>
      </c>
      <c r="V37" s="88">
        <f t="shared" si="16"/>
        <v>192254.28808000003</v>
      </c>
      <c r="W37" s="88">
        <f t="shared" si="16"/>
        <v>274141.20974399999</v>
      </c>
      <c r="X37" s="88">
        <f t="shared" si="16"/>
        <v>278498.67474400002</v>
      </c>
      <c r="Y37" s="88">
        <f t="shared" si="16"/>
        <v>261541.20974399999</v>
      </c>
      <c r="Z37" s="88">
        <f t="shared" si="16"/>
        <v>314571.79974400002</v>
      </c>
      <c r="AA37" s="88">
        <f t="shared" si="16"/>
        <v>260307.87641066665</v>
      </c>
      <c r="AB37" s="88">
        <f t="shared" si="16"/>
        <v>373652.93573066674</v>
      </c>
      <c r="AC37" s="88">
        <f t="shared" si="16"/>
        <v>337576.05223066668</v>
      </c>
      <c r="AD37" s="88">
        <f t="shared" si="16"/>
        <v>298127.92723066668</v>
      </c>
      <c r="AE37" s="88">
        <f t="shared" si="16"/>
        <v>320485.39223066671</v>
      </c>
      <c r="AF37" s="88">
        <f t="shared" si="16"/>
        <v>375756.64223066671</v>
      </c>
      <c r="AG37" s="103"/>
      <c r="AI37" s="88">
        <f>SUM(AI13,AI22,AI30,AI36)</f>
        <v>3740437.375</v>
      </c>
      <c r="AJ37" s="88">
        <f t="shared" ref="AJ37:AV37" si="17">SUM(AJ13,AJ22,AJ30,AJ36)</f>
        <v>0</v>
      </c>
      <c r="AK37" s="88">
        <f t="shared" si="17"/>
        <v>164450.69841000001</v>
      </c>
      <c r="AL37" s="88">
        <f t="shared" si="17"/>
        <v>206599.06190999999</v>
      </c>
      <c r="AM37" s="88">
        <f t="shared" si="17"/>
        <v>295467.020838</v>
      </c>
      <c r="AN37" s="88">
        <f t="shared" si="17"/>
        <v>300014.63083799998</v>
      </c>
      <c r="AO37" s="88">
        <f t="shared" si="17"/>
        <v>281777.34583800001</v>
      </c>
      <c r="AP37" s="88">
        <f t="shared" si="17"/>
        <v>338275.88083799998</v>
      </c>
      <c r="AQ37" s="88">
        <f t="shared" si="17"/>
        <v>280508.68750466668</v>
      </c>
      <c r="AR37" s="88">
        <f t="shared" si="17"/>
        <v>408954.16636466677</v>
      </c>
      <c r="AS37" s="88">
        <f t="shared" si="17"/>
        <v>370857.72811466677</v>
      </c>
      <c r="AT37" s="88">
        <f t="shared" si="17"/>
        <v>329221.47811466677</v>
      </c>
      <c r="AU37" s="88">
        <f t="shared" si="17"/>
        <v>352894.08811466675</v>
      </c>
      <c r="AV37" s="88">
        <f t="shared" si="17"/>
        <v>411416.58811466675</v>
      </c>
      <c r="AW37" s="83"/>
    </row>
    <row r="38" spans="1:49">
      <c r="A38" s="23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</row>
    <row r="39" spans="1:49">
      <c r="A39" s="23" t="s">
        <v>41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</row>
    <row r="40" spans="1:49" outlineLevel="1">
      <c r="A40" s="23" t="s">
        <v>42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</row>
    <row r="41" spans="1:49" outlineLevel="1">
      <c r="A41" s="23"/>
      <c r="B41" s="24" t="s">
        <v>43</v>
      </c>
      <c r="C41" s="89">
        <f>'Budget Summary'!C37</f>
        <v>1009128</v>
      </c>
      <c r="D41" s="89">
        <f>$C41*'Y1 Cash Flow Assumptions'!D41</f>
        <v>0</v>
      </c>
      <c r="E41" s="89">
        <f>$C41*'Y1 Cash Flow Assumptions'!E41</f>
        <v>50456.4</v>
      </c>
      <c r="F41" s="89">
        <f>$C41*'Y1 Cash Flow Assumptions'!F41</f>
        <v>100912.8</v>
      </c>
      <c r="G41" s="89">
        <f>$C41*'Y1 Cash Flow Assumptions'!G41</f>
        <v>100912.8</v>
      </c>
      <c r="H41" s="89">
        <f>$C41*'Y1 Cash Flow Assumptions'!H41</f>
        <v>100912.8</v>
      </c>
      <c r="I41" s="89">
        <f>$C41*'Y1 Cash Flow Assumptions'!I41</f>
        <v>100912.8</v>
      </c>
      <c r="J41" s="89">
        <f>$C41*'Y1 Cash Flow Assumptions'!J41</f>
        <v>100912.8</v>
      </c>
      <c r="K41" s="89">
        <f>$C41*'Y1 Cash Flow Assumptions'!K41</f>
        <v>100912.8</v>
      </c>
      <c r="L41" s="89">
        <f>$C41*'Y1 Cash Flow Assumptions'!L41</f>
        <v>100912.8</v>
      </c>
      <c r="M41" s="89">
        <f>$C41*'Y1 Cash Flow Assumptions'!M41</f>
        <v>100912.8</v>
      </c>
      <c r="N41" s="89">
        <f>$C41*'Y1 Cash Flow Assumptions'!N41</f>
        <v>100912.8</v>
      </c>
      <c r="O41" s="89">
        <f>$C41*'Y1 Cash Flow Assumptions'!O41</f>
        <v>50456.4</v>
      </c>
      <c r="P41" s="89">
        <f>$C41*'Y1 Cash Flow Assumptions'!P41</f>
        <v>0</v>
      </c>
      <c r="S41" s="89">
        <f>'Budget Summary'!D37</f>
        <v>1143235.7999999998</v>
      </c>
      <c r="T41" s="89">
        <f>$S41*'Y2_3 Cash Flow Assumptions'!D41</f>
        <v>0</v>
      </c>
      <c r="U41" s="89">
        <f>$S41*'Y2_3 Cash Flow Assumptions'!E41</f>
        <v>57161.789999999994</v>
      </c>
      <c r="V41" s="89">
        <f>$S41*'Y2_3 Cash Flow Assumptions'!F41</f>
        <v>114323.57999999999</v>
      </c>
      <c r="W41" s="89">
        <f>$S41*'Y2_3 Cash Flow Assumptions'!G41</f>
        <v>114323.57999999999</v>
      </c>
      <c r="X41" s="89">
        <f>$S41*'Y2_3 Cash Flow Assumptions'!H41</f>
        <v>114323.57999999999</v>
      </c>
      <c r="Y41" s="89">
        <f>$S41*'Y2_3 Cash Flow Assumptions'!I41</f>
        <v>114323.57999999999</v>
      </c>
      <c r="Z41" s="89">
        <f>$S41*'Y2_3 Cash Flow Assumptions'!J41</f>
        <v>114323.57999999999</v>
      </c>
      <c r="AA41" s="89">
        <f>$S41*'Y2_3 Cash Flow Assumptions'!K41</f>
        <v>114323.57999999999</v>
      </c>
      <c r="AB41" s="89">
        <f>$S41*'Y2_3 Cash Flow Assumptions'!L41</f>
        <v>114323.57999999999</v>
      </c>
      <c r="AC41" s="89">
        <f>$S41*'Y2_3 Cash Flow Assumptions'!M41</f>
        <v>114323.57999999999</v>
      </c>
      <c r="AD41" s="89">
        <f>$S41*'Y2_3 Cash Flow Assumptions'!N41</f>
        <v>114323.57999999999</v>
      </c>
      <c r="AE41" s="89">
        <f>$S41*'Y2_3 Cash Flow Assumptions'!O41</f>
        <v>57161.789999999994</v>
      </c>
      <c r="AF41" s="89">
        <f>$S41*'Y2_3 Cash Flow Assumptions'!P41</f>
        <v>0</v>
      </c>
      <c r="AI41" s="89">
        <f>'Budget Summary'!E37</f>
        <v>1283418.2849999997</v>
      </c>
      <c r="AJ41" s="89">
        <f>$AI41*'Y2_3 Cash Flow Assumptions'!D41</f>
        <v>0</v>
      </c>
      <c r="AK41" s="89">
        <f>$AI41*'Y2_3 Cash Flow Assumptions'!E41</f>
        <v>64170.914249999987</v>
      </c>
      <c r="AL41" s="89">
        <f>$AI41*'Y2_3 Cash Flow Assumptions'!F41</f>
        <v>128341.82849999997</v>
      </c>
      <c r="AM41" s="89">
        <f>$AI41*'Y2_3 Cash Flow Assumptions'!G41</f>
        <v>128341.82849999997</v>
      </c>
      <c r="AN41" s="89">
        <f>$AI41*'Y2_3 Cash Flow Assumptions'!H41</f>
        <v>128341.82849999997</v>
      </c>
      <c r="AO41" s="89">
        <f>$AI41*'Y2_3 Cash Flow Assumptions'!I41</f>
        <v>128341.82849999997</v>
      </c>
      <c r="AP41" s="89">
        <f>$AI41*'Y2_3 Cash Flow Assumptions'!J41</f>
        <v>128341.82849999997</v>
      </c>
      <c r="AQ41" s="89">
        <f>$AI41*'Y2_3 Cash Flow Assumptions'!K41</f>
        <v>128341.82849999997</v>
      </c>
      <c r="AR41" s="89">
        <f>$AI41*'Y2_3 Cash Flow Assumptions'!L41</f>
        <v>128341.82849999997</v>
      </c>
      <c r="AS41" s="89">
        <f>$AI41*'Y2_3 Cash Flow Assumptions'!M41</f>
        <v>128341.82849999997</v>
      </c>
      <c r="AT41" s="89">
        <f>$AI41*'Y2_3 Cash Flow Assumptions'!N41</f>
        <v>128341.82849999997</v>
      </c>
      <c r="AU41" s="89">
        <f>$AI41*'Y2_3 Cash Flow Assumptions'!O41</f>
        <v>64170.914249999987</v>
      </c>
      <c r="AV41" s="89">
        <f>$AI41*'Y2_3 Cash Flow Assumptions'!P41</f>
        <v>0</v>
      </c>
    </row>
    <row r="42" spans="1:49" outlineLevel="1">
      <c r="A42" s="23"/>
      <c r="B42" s="24" t="s">
        <v>131</v>
      </c>
      <c r="C42" s="89">
        <f>'Budget Summary'!C38</f>
        <v>20000</v>
      </c>
      <c r="D42" s="89">
        <f>$C42*'Y1 Cash Flow Assumptions'!D42</f>
        <v>0</v>
      </c>
      <c r="E42" s="89">
        <f>$C42*'Y1 Cash Flow Assumptions'!E42</f>
        <v>1000</v>
      </c>
      <c r="F42" s="89">
        <f>$C42*'Y1 Cash Flow Assumptions'!F42</f>
        <v>2000</v>
      </c>
      <c r="G42" s="89">
        <f>$C42*'Y1 Cash Flow Assumptions'!G42</f>
        <v>2000</v>
      </c>
      <c r="H42" s="89">
        <f>$C42*'Y1 Cash Flow Assumptions'!H42</f>
        <v>2000</v>
      </c>
      <c r="I42" s="89">
        <f>$C42*'Y1 Cash Flow Assumptions'!I42</f>
        <v>2000</v>
      </c>
      <c r="J42" s="89">
        <f>$C42*'Y1 Cash Flow Assumptions'!J42</f>
        <v>2000</v>
      </c>
      <c r="K42" s="89">
        <f>$C42*'Y1 Cash Flow Assumptions'!K42</f>
        <v>2000</v>
      </c>
      <c r="L42" s="89">
        <f>$C42*'Y1 Cash Flow Assumptions'!L42</f>
        <v>2000</v>
      </c>
      <c r="M42" s="89">
        <f>$C42*'Y1 Cash Flow Assumptions'!M42</f>
        <v>2000</v>
      </c>
      <c r="N42" s="89">
        <f>$C42*'Y1 Cash Flow Assumptions'!N42</f>
        <v>2000</v>
      </c>
      <c r="O42" s="89">
        <f>$C42*'Y1 Cash Flow Assumptions'!O42</f>
        <v>1000</v>
      </c>
      <c r="P42" s="89">
        <f>$C42*'Y1 Cash Flow Assumptions'!P42</f>
        <v>0</v>
      </c>
      <c r="S42" s="89">
        <f>'Budget Summary'!D38</f>
        <v>20000</v>
      </c>
      <c r="T42" s="89">
        <f>$S42*'Y2_3 Cash Flow Assumptions'!D42</f>
        <v>0</v>
      </c>
      <c r="U42" s="89">
        <f>$S42*'Y2_3 Cash Flow Assumptions'!E42</f>
        <v>1000</v>
      </c>
      <c r="V42" s="89">
        <f>$S42*'Y2_3 Cash Flow Assumptions'!F42</f>
        <v>2000</v>
      </c>
      <c r="W42" s="89">
        <f>$S42*'Y2_3 Cash Flow Assumptions'!G42</f>
        <v>2000</v>
      </c>
      <c r="X42" s="89">
        <f>$S42*'Y2_3 Cash Flow Assumptions'!H42</f>
        <v>2000</v>
      </c>
      <c r="Y42" s="89">
        <f>$S42*'Y2_3 Cash Flow Assumptions'!I42</f>
        <v>2000</v>
      </c>
      <c r="Z42" s="89">
        <f>$S42*'Y2_3 Cash Flow Assumptions'!J42</f>
        <v>2000</v>
      </c>
      <c r="AA42" s="89">
        <f>$S42*'Y2_3 Cash Flow Assumptions'!K42</f>
        <v>2000</v>
      </c>
      <c r="AB42" s="89">
        <f>$S42*'Y2_3 Cash Flow Assumptions'!L42</f>
        <v>2000</v>
      </c>
      <c r="AC42" s="89">
        <f>$S42*'Y2_3 Cash Flow Assumptions'!M42</f>
        <v>2000</v>
      </c>
      <c r="AD42" s="89">
        <f>$S42*'Y2_3 Cash Flow Assumptions'!N42</f>
        <v>2000</v>
      </c>
      <c r="AE42" s="89">
        <f>$S42*'Y2_3 Cash Flow Assumptions'!O42</f>
        <v>1000</v>
      </c>
      <c r="AF42" s="89">
        <f>$S42*'Y2_3 Cash Flow Assumptions'!P42</f>
        <v>0</v>
      </c>
      <c r="AI42" s="89">
        <f>'Budget Summary'!E38</f>
        <v>20000</v>
      </c>
      <c r="AJ42" s="89">
        <f>$AI42*'Y2_3 Cash Flow Assumptions'!D42</f>
        <v>0</v>
      </c>
      <c r="AK42" s="89">
        <f>$AI42*'Y2_3 Cash Flow Assumptions'!E42</f>
        <v>1000</v>
      </c>
      <c r="AL42" s="89">
        <f>$AI42*'Y2_3 Cash Flow Assumptions'!F42</f>
        <v>2000</v>
      </c>
      <c r="AM42" s="89">
        <f>$AI42*'Y2_3 Cash Flow Assumptions'!G42</f>
        <v>2000</v>
      </c>
      <c r="AN42" s="89">
        <f>$AI42*'Y2_3 Cash Flow Assumptions'!H42</f>
        <v>2000</v>
      </c>
      <c r="AO42" s="89">
        <f>$AI42*'Y2_3 Cash Flow Assumptions'!I42</f>
        <v>2000</v>
      </c>
      <c r="AP42" s="89">
        <f>$AI42*'Y2_3 Cash Flow Assumptions'!J42</f>
        <v>2000</v>
      </c>
      <c r="AQ42" s="89">
        <f>$AI42*'Y2_3 Cash Flow Assumptions'!K42</f>
        <v>2000</v>
      </c>
      <c r="AR42" s="89">
        <f>$AI42*'Y2_3 Cash Flow Assumptions'!L42</f>
        <v>2000</v>
      </c>
      <c r="AS42" s="89">
        <f>$AI42*'Y2_3 Cash Flow Assumptions'!M42</f>
        <v>2000</v>
      </c>
      <c r="AT42" s="89">
        <f>$AI42*'Y2_3 Cash Flow Assumptions'!N42</f>
        <v>2000</v>
      </c>
      <c r="AU42" s="89">
        <f>$AI42*'Y2_3 Cash Flow Assumptions'!O42</f>
        <v>1000</v>
      </c>
      <c r="AV42" s="89">
        <f>$AI42*'Y2_3 Cash Flow Assumptions'!P42</f>
        <v>0</v>
      </c>
    </row>
    <row r="43" spans="1:49" outlineLevel="1">
      <c r="A43" s="23"/>
      <c r="B43" s="24" t="s">
        <v>44</v>
      </c>
      <c r="C43" s="89">
        <f>'Budget Summary'!C39</f>
        <v>0</v>
      </c>
      <c r="D43" s="89">
        <f>$C43*'Y1 Cash Flow Assumptions'!D43</f>
        <v>0</v>
      </c>
      <c r="E43" s="89">
        <f>$C43*'Y1 Cash Flow Assumptions'!E43</f>
        <v>0</v>
      </c>
      <c r="F43" s="89">
        <f>$C43*'Y1 Cash Flow Assumptions'!F43</f>
        <v>0</v>
      </c>
      <c r="G43" s="89">
        <f>$C43*'Y1 Cash Flow Assumptions'!G43</f>
        <v>0</v>
      </c>
      <c r="H43" s="89">
        <f>$C43*'Y1 Cash Flow Assumptions'!H43</f>
        <v>0</v>
      </c>
      <c r="I43" s="89">
        <f>$C43*'Y1 Cash Flow Assumptions'!I43</f>
        <v>0</v>
      </c>
      <c r="J43" s="89">
        <f>$C43*'Y1 Cash Flow Assumptions'!J43</f>
        <v>0</v>
      </c>
      <c r="K43" s="89">
        <f>$C43*'Y1 Cash Flow Assumptions'!K43</f>
        <v>0</v>
      </c>
      <c r="L43" s="89">
        <f>$C43*'Y1 Cash Flow Assumptions'!L43</f>
        <v>0</v>
      </c>
      <c r="M43" s="89">
        <f>$C43*'Y1 Cash Flow Assumptions'!M43</f>
        <v>0</v>
      </c>
      <c r="N43" s="89">
        <f>$C43*'Y1 Cash Flow Assumptions'!N43</f>
        <v>0</v>
      </c>
      <c r="O43" s="89">
        <f>$C43*'Y1 Cash Flow Assumptions'!O43</f>
        <v>0</v>
      </c>
      <c r="P43" s="89">
        <f>$C43*'Y1 Cash Flow Assumptions'!P43</f>
        <v>0</v>
      </c>
      <c r="S43" s="89">
        <f>'Budget Summary'!D39</f>
        <v>0</v>
      </c>
      <c r="T43" s="89">
        <f>$S43*'Y2_3 Cash Flow Assumptions'!D43</f>
        <v>0</v>
      </c>
      <c r="U43" s="89">
        <f>$S43*'Y2_3 Cash Flow Assumptions'!E43</f>
        <v>0</v>
      </c>
      <c r="V43" s="89">
        <f>$S43*'Y2_3 Cash Flow Assumptions'!F43</f>
        <v>0</v>
      </c>
      <c r="W43" s="89">
        <f>$S43*'Y2_3 Cash Flow Assumptions'!G43</f>
        <v>0</v>
      </c>
      <c r="X43" s="89">
        <f>$S43*'Y2_3 Cash Flow Assumptions'!H43</f>
        <v>0</v>
      </c>
      <c r="Y43" s="89">
        <f>$S43*'Y2_3 Cash Flow Assumptions'!I43</f>
        <v>0</v>
      </c>
      <c r="Z43" s="89">
        <f>$S43*'Y2_3 Cash Flow Assumptions'!J43</f>
        <v>0</v>
      </c>
      <c r="AA43" s="89">
        <f>$S43*'Y2_3 Cash Flow Assumptions'!K43</f>
        <v>0</v>
      </c>
      <c r="AB43" s="89">
        <f>$S43*'Y2_3 Cash Flow Assumptions'!L43</f>
        <v>0</v>
      </c>
      <c r="AC43" s="89">
        <f>$S43*'Y2_3 Cash Flow Assumptions'!M43</f>
        <v>0</v>
      </c>
      <c r="AD43" s="89">
        <f>$S43*'Y2_3 Cash Flow Assumptions'!N43</f>
        <v>0</v>
      </c>
      <c r="AE43" s="89">
        <f>$S43*'Y2_3 Cash Flow Assumptions'!O43</f>
        <v>0</v>
      </c>
      <c r="AF43" s="89">
        <f>$S43*'Y2_3 Cash Flow Assumptions'!P43</f>
        <v>0</v>
      </c>
      <c r="AI43" s="89">
        <f>'Budget Summary'!E39</f>
        <v>0</v>
      </c>
      <c r="AJ43" s="89">
        <f>$AI43*'Y2_3 Cash Flow Assumptions'!D43</f>
        <v>0</v>
      </c>
      <c r="AK43" s="89">
        <f>$AI43*'Y2_3 Cash Flow Assumptions'!E43</f>
        <v>0</v>
      </c>
      <c r="AL43" s="89">
        <f>$AI43*'Y2_3 Cash Flow Assumptions'!F43</f>
        <v>0</v>
      </c>
      <c r="AM43" s="89">
        <f>$AI43*'Y2_3 Cash Flow Assumptions'!G43</f>
        <v>0</v>
      </c>
      <c r="AN43" s="89">
        <f>$AI43*'Y2_3 Cash Flow Assumptions'!H43</f>
        <v>0</v>
      </c>
      <c r="AO43" s="89">
        <f>$AI43*'Y2_3 Cash Flow Assumptions'!I43</f>
        <v>0</v>
      </c>
      <c r="AP43" s="89">
        <f>$AI43*'Y2_3 Cash Flow Assumptions'!J43</f>
        <v>0</v>
      </c>
      <c r="AQ43" s="89">
        <f>$AI43*'Y2_3 Cash Flow Assumptions'!K43</f>
        <v>0</v>
      </c>
      <c r="AR43" s="89">
        <f>$AI43*'Y2_3 Cash Flow Assumptions'!L43</f>
        <v>0</v>
      </c>
      <c r="AS43" s="89">
        <f>$AI43*'Y2_3 Cash Flow Assumptions'!M43</f>
        <v>0</v>
      </c>
      <c r="AT43" s="89">
        <f>$AI43*'Y2_3 Cash Flow Assumptions'!N43</f>
        <v>0</v>
      </c>
      <c r="AU43" s="89">
        <f>$AI43*'Y2_3 Cash Flow Assumptions'!O43</f>
        <v>0</v>
      </c>
      <c r="AV43" s="89">
        <f>$AI43*'Y2_3 Cash Flow Assumptions'!P43</f>
        <v>0</v>
      </c>
    </row>
    <row r="44" spans="1:49" outlineLevel="1">
      <c r="A44" s="23"/>
      <c r="B44" s="24" t="s">
        <v>45</v>
      </c>
      <c r="C44" s="89">
        <f>'Budget Summary'!C40</f>
        <v>220000</v>
      </c>
      <c r="D44" s="89">
        <f>$C44*'Y1 Cash Flow Assumptions'!D44</f>
        <v>0</v>
      </c>
      <c r="E44" s="89">
        <f>$C44*'Y1 Cash Flow Assumptions'!E44</f>
        <v>11000</v>
      </c>
      <c r="F44" s="89">
        <f>$C44*'Y1 Cash Flow Assumptions'!F44</f>
        <v>22000</v>
      </c>
      <c r="G44" s="89">
        <f>$C44*'Y1 Cash Flow Assumptions'!G44</f>
        <v>22000</v>
      </c>
      <c r="H44" s="89">
        <f>$C44*'Y1 Cash Flow Assumptions'!H44</f>
        <v>22000</v>
      </c>
      <c r="I44" s="89">
        <f>$C44*'Y1 Cash Flow Assumptions'!I44</f>
        <v>22000</v>
      </c>
      <c r="J44" s="89">
        <f>$C44*'Y1 Cash Flow Assumptions'!J44</f>
        <v>22000</v>
      </c>
      <c r="K44" s="89">
        <f>$C44*'Y1 Cash Flow Assumptions'!K44</f>
        <v>22000</v>
      </c>
      <c r="L44" s="89">
        <f>$C44*'Y1 Cash Flow Assumptions'!L44</f>
        <v>22000</v>
      </c>
      <c r="M44" s="89">
        <f>$C44*'Y1 Cash Flow Assumptions'!M44</f>
        <v>22000</v>
      </c>
      <c r="N44" s="89">
        <f>$C44*'Y1 Cash Flow Assumptions'!N44</f>
        <v>22000</v>
      </c>
      <c r="O44" s="89">
        <f>$C44*'Y1 Cash Flow Assumptions'!O44</f>
        <v>11000</v>
      </c>
      <c r="P44" s="89">
        <f>$C44*'Y1 Cash Flow Assumptions'!P44</f>
        <v>0</v>
      </c>
      <c r="S44" s="89">
        <f>'Budget Summary'!D40</f>
        <v>225499.99999999997</v>
      </c>
      <c r="T44" s="89">
        <f>$S44*'Y2_3 Cash Flow Assumptions'!D44</f>
        <v>0</v>
      </c>
      <c r="U44" s="89">
        <f>$S44*'Y2_3 Cash Flow Assumptions'!E44</f>
        <v>11275</v>
      </c>
      <c r="V44" s="89">
        <f>$S44*'Y2_3 Cash Flow Assumptions'!F44</f>
        <v>22550</v>
      </c>
      <c r="W44" s="89">
        <f>$S44*'Y2_3 Cash Flow Assumptions'!G44</f>
        <v>22550</v>
      </c>
      <c r="X44" s="89">
        <f>$S44*'Y2_3 Cash Flow Assumptions'!H44</f>
        <v>22550</v>
      </c>
      <c r="Y44" s="89">
        <f>$S44*'Y2_3 Cash Flow Assumptions'!I44</f>
        <v>22550</v>
      </c>
      <c r="Z44" s="89">
        <f>$S44*'Y2_3 Cash Flow Assumptions'!J44</f>
        <v>22550</v>
      </c>
      <c r="AA44" s="89">
        <f>$S44*'Y2_3 Cash Flow Assumptions'!K44</f>
        <v>22550</v>
      </c>
      <c r="AB44" s="89">
        <f>$S44*'Y2_3 Cash Flow Assumptions'!L44</f>
        <v>22550</v>
      </c>
      <c r="AC44" s="89">
        <f>$S44*'Y2_3 Cash Flow Assumptions'!M44</f>
        <v>22550</v>
      </c>
      <c r="AD44" s="89">
        <f>$S44*'Y2_3 Cash Flow Assumptions'!N44</f>
        <v>22550</v>
      </c>
      <c r="AE44" s="89">
        <f>$S44*'Y2_3 Cash Flow Assumptions'!O44</f>
        <v>11275</v>
      </c>
      <c r="AF44" s="89">
        <f>$S44*'Y2_3 Cash Flow Assumptions'!P44</f>
        <v>0</v>
      </c>
      <c r="AI44" s="89">
        <f>'Budget Summary'!E40</f>
        <v>231137.49999999994</v>
      </c>
      <c r="AJ44" s="89">
        <f>$AI44*'Y2_3 Cash Flow Assumptions'!D44</f>
        <v>0</v>
      </c>
      <c r="AK44" s="89">
        <f>$AI44*'Y2_3 Cash Flow Assumptions'!E44</f>
        <v>11556.874999999998</v>
      </c>
      <c r="AL44" s="89">
        <f>$AI44*'Y2_3 Cash Flow Assumptions'!F44</f>
        <v>23113.749999999996</v>
      </c>
      <c r="AM44" s="89">
        <f>$AI44*'Y2_3 Cash Flow Assumptions'!G44</f>
        <v>23113.749999999996</v>
      </c>
      <c r="AN44" s="89">
        <f>$AI44*'Y2_3 Cash Flow Assumptions'!H44</f>
        <v>23113.749999999996</v>
      </c>
      <c r="AO44" s="89">
        <f>$AI44*'Y2_3 Cash Flow Assumptions'!I44</f>
        <v>23113.749999999996</v>
      </c>
      <c r="AP44" s="89">
        <f>$AI44*'Y2_3 Cash Flow Assumptions'!J44</f>
        <v>23113.749999999996</v>
      </c>
      <c r="AQ44" s="89">
        <f>$AI44*'Y2_3 Cash Flow Assumptions'!K44</f>
        <v>23113.749999999996</v>
      </c>
      <c r="AR44" s="89">
        <f>$AI44*'Y2_3 Cash Flow Assumptions'!L44</f>
        <v>23113.749999999996</v>
      </c>
      <c r="AS44" s="89">
        <f>$AI44*'Y2_3 Cash Flow Assumptions'!M44</f>
        <v>23113.749999999996</v>
      </c>
      <c r="AT44" s="89">
        <f>$AI44*'Y2_3 Cash Flow Assumptions'!N44</f>
        <v>23113.749999999996</v>
      </c>
      <c r="AU44" s="89">
        <f>$AI44*'Y2_3 Cash Flow Assumptions'!O44</f>
        <v>11556.874999999998</v>
      </c>
      <c r="AV44" s="89">
        <f>$AI44*'Y2_3 Cash Flow Assumptions'!P44</f>
        <v>0</v>
      </c>
    </row>
    <row r="45" spans="1:49" outlineLevel="1">
      <c r="A45" s="23"/>
      <c r="B45" s="24" t="s">
        <v>288</v>
      </c>
      <c r="C45" s="89">
        <f>'Budget Summary'!C41</f>
        <v>0</v>
      </c>
      <c r="D45" s="89">
        <f>$C45*'Y1 Cash Flow Assumptions'!D45</f>
        <v>0</v>
      </c>
      <c r="E45" s="89">
        <f>$C45*'Y1 Cash Flow Assumptions'!E45</f>
        <v>0</v>
      </c>
      <c r="F45" s="89">
        <f>$C45*'Y1 Cash Flow Assumptions'!F45</f>
        <v>0</v>
      </c>
      <c r="G45" s="89">
        <f>$C45*'Y1 Cash Flow Assumptions'!G45</f>
        <v>0</v>
      </c>
      <c r="H45" s="89">
        <f>$C45*'Y1 Cash Flow Assumptions'!H45</f>
        <v>0</v>
      </c>
      <c r="I45" s="89">
        <f>$C45*'Y1 Cash Flow Assumptions'!I45</f>
        <v>0</v>
      </c>
      <c r="J45" s="89">
        <f>$C45*'Y1 Cash Flow Assumptions'!J45</f>
        <v>0</v>
      </c>
      <c r="K45" s="89">
        <f>$C45*'Y1 Cash Flow Assumptions'!K45</f>
        <v>0</v>
      </c>
      <c r="L45" s="89">
        <f>$C45*'Y1 Cash Flow Assumptions'!L45</f>
        <v>0</v>
      </c>
      <c r="M45" s="89">
        <f>$C45*'Y1 Cash Flow Assumptions'!M45</f>
        <v>0</v>
      </c>
      <c r="N45" s="89">
        <f>$C45*'Y1 Cash Flow Assumptions'!N45</f>
        <v>0</v>
      </c>
      <c r="O45" s="89">
        <f>$C45*'Y1 Cash Flow Assumptions'!O45</f>
        <v>0</v>
      </c>
      <c r="P45" s="89">
        <f>$C45*'Y1 Cash Flow Assumptions'!P45</f>
        <v>0</v>
      </c>
      <c r="S45" s="89">
        <f>'Budget Summary'!D41</f>
        <v>0</v>
      </c>
      <c r="T45" s="89">
        <f>$S45*'Y2_3 Cash Flow Assumptions'!D45</f>
        <v>0</v>
      </c>
      <c r="U45" s="89">
        <f>$S45*'Y2_3 Cash Flow Assumptions'!E45</f>
        <v>0</v>
      </c>
      <c r="V45" s="89">
        <f>$S45*'Y2_3 Cash Flow Assumptions'!F45</f>
        <v>0</v>
      </c>
      <c r="W45" s="89">
        <f>$S45*'Y2_3 Cash Flow Assumptions'!G45</f>
        <v>0</v>
      </c>
      <c r="X45" s="89">
        <f>$S45*'Y2_3 Cash Flow Assumptions'!H45</f>
        <v>0</v>
      </c>
      <c r="Y45" s="89">
        <f>$S45*'Y2_3 Cash Flow Assumptions'!I45</f>
        <v>0</v>
      </c>
      <c r="Z45" s="89">
        <f>$S45*'Y2_3 Cash Flow Assumptions'!J45</f>
        <v>0</v>
      </c>
      <c r="AA45" s="89">
        <f>$S45*'Y2_3 Cash Flow Assumptions'!K45</f>
        <v>0</v>
      </c>
      <c r="AB45" s="89">
        <f>$S45*'Y2_3 Cash Flow Assumptions'!L45</f>
        <v>0</v>
      </c>
      <c r="AC45" s="89">
        <f>$S45*'Y2_3 Cash Flow Assumptions'!M45</f>
        <v>0</v>
      </c>
      <c r="AD45" s="89">
        <f>$S45*'Y2_3 Cash Flow Assumptions'!N45</f>
        <v>0</v>
      </c>
      <c r="AE45" s="89">
        <f>$S45*'Y2_3 Cash Flow Assumptions'!O45</f>
        <v>0</v>
      </c>
      <c r="AF45" s="89">
        <f>$S45*'Y2_3 Cash Flow Assumptions'!P45</f>
        <v>0</v>
      </c>
      <c r="AI45" s="89">
        <f>'Budget Summary'!E41</f>
        <v>0</v>
      </c>
      <c r="AJ45" s="89">
        <f>$AI45*'Y2_3 Cash Flow Assumptions'!D45</f>
        <v>0</v>
      </c>
      <c r="AK45" s="89">
        <f>$AI45*'Y2_3 Cash Flow Assumptions'!E45</f>
        <v>0</v>
      </c>
      <c r="AL45" s="89">
        <f>$AI45*'Y2_3 Cash Flow Assumptions'!F45</f>
        <v>0</v>
      </c>
      <c r="AM45" s="89">
        <f>$AI45*'Y2_3 Cash Flow Assumptions'!G45</f>
        <v>0</v>
      </c>
      <c r="AN45" s="89">
        <f>$AI45*'Y2_3 Cash Flow Assumptions'!H45</f>
        <v>0</v>
      </c>
      <c r="AO45" s="89">
        <f>$AI45*'Y2_3 Cash Flow Assumptions'!I45</f>
        <v>0</v>
      </c>
      <c r="AP45" s="89">
        <f>$AI45*'Y2_3 Cash Flow Assumptions'!J45</f>
        <v>0</v>
      </c>
      <c r="AQ45" s="89">
        <f>$AI45*'Y2_3 Cash Flow Assumptions'!K45</f>
        <v>0</v>
      </c>
      <c r="AR45" s="89">
        <f>$AI45*'Y2_3 Cash Flow Assumptions'!L45</f>
        <v>0</v>
      </c>
      <c r="AS45" s="89">
        <f>$AI45*'Y2_3 Cash Flow Assumptions'!M45</f>
        <v>0</v>
      </c>
      <c r="AT45" s="89">
        <f>$AI45*'Y2_3 Cash Flow Assumptions'!N45</f>
        <v>0</v>
      </c>
      <c r="AU45" s="89">
        <f>$AI45*'Y2_3 Cash Flow Assumptions'!O45</f>
        <v>0</v>
      </c>
      <c r="AV45" s="89">
        <f>$AI45*'Y2_3 Cash Flow Assumptions'!P45</f>
        <v>0</v>
      </c>
    </row>
    <row r="46" spans="1:49" outlineLevel="1">
      <c r="A46" s="23"/>
      <c r="B46" s="24" t="s">
        <v>13</v>
      </c>
      <c r="C46" s="89">
        <f>'Budget Summary'!C42</f>
        <v>0</v>
      </c>
      <c r="D46" s="89">
        <f>$C46*'Y1 Cash Flow Assumptions'!D46</f>
        <v>0</v>
      </c>
      <c r="E46" s="89">
        <f>$C46*'Y1 Cash Flow Assumptions'!E46</f>
        <v>0</v>
      </c>
      <c r="F46" s="89">
        <f>$C46*'Y1 Cash Flow Assumptions'!F46</f>
        <v>0</v>
      </c>
      <c r="G46" s="89">
        <f>$C46*'Y1 Cash Flow Assumptions'!G46</f>
        <v>0</v>
      </c>
      <c r="H46" s="89">
        <f>$C46*'Y1 Cash Flow Assumptions'!H46</f>
        <v>0</v>
      </c>
      <c r="I46" s="89">
        <f>$C46*'Y1 Cash Flow Assumptions'!I46</f>
        <v>0</v>
      </c>
      <c r="J46" s="89">
        <f>$C46*'Y1 Cash Flow Assumptions'!J46</f>
        <v>0</v>
      </c>
      <c r="K46" s="89">
        <f>$C46*'Y1 Cash Flow Assumptions'!K46</f>
        <v>0</v>
      </c>
      <c r="L46" s="89">
        <f>$C46*'Y1 Cash Flow Assumptions'!L46</f>
        <v>0</v>
      </c>
      <c r="M46" s="89">
        <f>$C46*'Y1 Cash Flow Assumptions'!M46</f>
        <v>0</v>
      </c>
      <c r="N46" s="89">
        <f>$C46*'Y1 Cash Flow Assumptions'!N46</f>
        <v>0</v>
      </c>
      <c r="O46" s="89">
        <f>$C46*'Y1 Cash Flow Assumptions'!O46</f>
        <v>0</v>
      </c>
      <c r="P46" s="89">
        <f>$C46*'Y1 Cash Flow Assumptions'!P46</f>
        <v>0</v>
      </c>
      <c r="S46" s="89">
        <f>'Budget Summary'!D42</f>
        <v>0</v>
      </c>
      <c r="T46" s="89">
        <f>$S46*'Y2_3 Cash Flow Assumptions'!D46</f>
        <v>0</v>
      </c>
      <c r="U46" s="89">
        <f>$S46*'Y2_3 Cash Flow Assumptions'!E46</f>
        <v>0</v>
      </c>
      <c r="V46" s="89">
        <f>$S46*'Y2_3 Cash Flow Assumptions'!F46</f>
        <v>0</v>
      </c>
      <c r="W46" s="89">
        <f>$S46*'Y2_3 Cash Flow Assumptions'!G46</f>
        <v>0</v>
      </c>
      <c r="X46" s="89">
        <f>$S46*'Y2_3 Cash Flow Assumptions'!H46</f>
        <v>0</v>
      </c>
      <c r="Y46" s="89">
        <f>$S46*'Y2_3 Cash Flow Assumptions'!I46</f>
        <v>0</v>
      </c>
      <c r="Z46" s="89">
        <f>$S46*'Y2_3 Cash Flow Assumptions'!J46</f>
        <v>0</v>
      </c>
      <c r="AA46" s="89">
        <f>$S46*'Y2_3 Cash Flow Assumptions'!K46</f>
        <v>0</v>
      </c>
      <c r="AB46" s="89">
        <f>$S46*'Y2_3 Cash Flow Assumptions'!L46</f>
        <v>0</v>
      </c>
      <c r="AC46" s="89">
        <f>$S46*'Y2_3 Cash Flow Assumptions'!M46</f>
        <v>0</v>
      </c>
      <c r="AD46" s="89">
        <f>$S46*'Y2_3 Cash Flow Assumptions'!N46</f>
        <v>0</v>
      </c>
      <c r="AE46" s="89">
        <f>$S46*'Y2_3 Cash Flow Assumptions'!O46</f>
        <v>0</v>
      </c>
      <c r="AF46" s="89">
        <f>$S46*'Y2_3 Cash Flow Assumptions'!P46</f>
        <v>0</v>
      </c>
      <c r="AI46" s="89">
        <f>'Budget Summary'!E42</f>
        <v>0</v>
      </c>
      <c r="AJ46" s="89">
        <f>$AI46*'Y2_3 Cash Flow Assumptions'!D46</f>
        <v>0</v>
      </c>
      <c r="AK46" s="89">
        <f>$AI46*'Y2_3 Cash Flow Assumptions'!E46</f>
        <v>0</v>
      </c>
      <c r="AL46" s="89">
        <f>$AI46*'Y2_3 Cash Flow Assumptions'!F46</f>
        <v>0</v>
      </c>
      <c r="AM46" s="89">
        <f>$AI46*'Y2_3 Cash Flow Assumptions'!G46</f>
        <v>0</v>
      </c>
      <c r="AN46" s="89">
        <f>$AI46*'Y2_3 Cash Flow Assumptions'!H46</f>
        <v>0</v>
      </c>
      <c r="AO46" s="89">
        <f>$AI46*'Y2_3 Cash Flow Assumptions'!I46</f>
        <v>0</v>
      </c>
      <c r="AP46" s="89">
        <f>$AI46*'Y2_3 Cash Flow Assumptions'!J46</f>
        <v>0</v>
      </c>
      <c r="AQ46" s="89">
        <f>$AI46*'Y2_3 Cash Flow Assumptions'!K46</f>
        <v>0</v>
      </c>
      <c r="AR46" s="89">
        <f>$AI46*'Y2_3 Cash Flow Assumptions'!L46</f>
        <v>0</v>
      </c>
      <c r="AS46" s="89">
        <f>$AI46*'Y2_3 Cash Flow Assumptions'!M46</f>
        <v>0</v>
      </c>
      <c r="AT46" s="89">
        <f>$AI46*'Y2_3 Cash Flow Assumptions'!N46</f>
        <v>0</v>
      </c>
      <c r="AU46" s="89">
        <f>$AI46*'Y2_3 Cash Flow Assumptions'!O46</f>
        <v>0</v>
      </c>
      <c r="AV46" s="89">
        <f>$AI46*'Y2_3 Cash Flow Assumptions'!P46</f>
        <v>0</v>
      </c>
    </row>
    <row r="47" spans="1:49">
      <c r="A47" s="23" t="s">
        <v>42</v>
      </c>
      <c r="C47" s="88">
        <f>SUM(C41:C46)</f>
        <v>1249128</v>
      </c>
      <c r="D47" s="88">
        <f t="shared" ref="D47:P47" si="18">SUM(D41:D46)</f>
        <v>0</v>
      </c>
      <c r="E47" s="88">
        <f t="shared" si="18"/>
        <v>62456.4</v>
      </c>
      <c r="F47" s="88">
        <f t="shared" si="18"/>
        <v>124912.8</v>
      </c>
      <c r="G47" s="88">
        <f t="shared" si="18"/>
        <v>124912.8</v>
      </c>
      <c r="H47" s="88">
        <f t="shared" si="18"/>
        <v>124912.8</v>
      </c>
      <c r="I47" s="88">
        <f t="shared" si="18"/>
        <v>124912.8</v>
      </c>
      <c r="J47" s="88">
        <f t="shared" si="18"/>
        <v>124912.8</v>
      </c>
      <c r="K47" s="88">
        <f t="shared" si="18"/>
        <v>124912.8</v>
      </c>
      <c r="L47" s="88">
        <f t="shared" si="18"/>
        <v>124912.8</v>
      </c>
      <c r="M47" s="88">
        <f t="shared" si="18"/>
        <v>124912.8</v>
      </c>
      <c r="N47" s="88">
        <f t="shared" si="18"/>
        <v>124912.8</v>
      </c>
      <c r="O47" s="88">
        <f t="shared" si="18"/>
        <v>62456.4</v>
      </c>
      <c r="P47" s="88">
        <f t="shared" si="18"/>
        <v>0</v>
      </c>
      <c r="S47" s="88">
        <f>SUM(S41:S46)</f>
        <v>1388735.7999999998</v>
      </c>
      <c r="T47" s="88">
        <f t="shared" ref="T47:AF47" si="19">SUM(T41:T46)</f>
        <v>0</v>
      </c>
      <c r="U47" s="88">
        <f t="shared" si="19"/>
        <v>69436.789999999994</v>
      </c>
      <c r="V47" s="88">
        <f t="shared" si="19"/>
        <v>138873.57999999999</v>
      </c>
      <c r="W47" s="88">
        <f t="shared" si="19"/>
        <v>138873.57999999999</v>
      </c>
      <c r="X47" s="88">
        <f t="shared" si="19"/>
        <v>138873.57999999999</v>
      </c>
      <c r="Y47" s="88">
        <f t="shared" si="19"/>
        <v>138873.57999999999</v>
      </c>
      <c r="Z47" s="88">
        <f t="shared" si="19"/>
        <v>138873.57999999999</v>
      </c>
      <c r="AA47" s="88">
        <f t="shared" si="19"/>
        <v>138873.57999999999</v>
      </c>
      <c r="AB47" s="88">
        <f t="shared" si="19"/>
        <v>138873.57999999999</v>
      </c>
      <c r="AC47" s="88">
        <f t="shared" si="19"/>
        <v>138873.57999999999</v>
      </c>
      <c r="AD47" s="88">
        <f t="shared" si="19"/>
        <v>138873.57999999999</v>
      </c>
      <c r="AE47" s="88">
        <f t="shared" si="19"/>
        <v>69436.789999999994</v>
      </c>
      <c r="AF47" s="88">
        <f t="shared" si="19"/>
        <v>0</v>
      </c>
      <c r="AI47" s="88">
        <f>SUM(AI41:AI46)</f>
        <v>1534555.7849999997</v>
      </c>
      <c r="AJ47" s="88">
        <f t="shared" ref="AJ47:AV47" si="20">SUM(AJ41:AJ46)</f>
        <v>0</v>
      </c>
      <c r="AK47" s="88">
        <f t="shared" si="20"/>
        <v>76727.789249999987</v>
      </c>
      <c r="AL47" s="88">
        <f t="shared" si="20"/>
        <v>153455.57849999997</v>
      </c>
      <c r="AM47" s="88">
        <f t="shared" si="20"/>
        <v>153455.57849999997</v>
      </c>
      <c r="AN47" s="88">
        <f t="shared" si="20"/>
        <v>153455.57849999997</v>
      </c>
      <c r="AO47" s="88">
        <f t="shared" si="20"/>
        <v>153455.57849999997</v>
      </c>
      <c r="AP47" s="88">
        <f t="shared" si="20"/>
        <v>153455.57849999997</v>
      </c>
      <c r="AQ47" s="88">
        <f t="shared" si="20"/>
        <v>153455.57849999997</v>
      </c>
      <c r="AR47" s="88">
        <f t="shared" si="20"/>
        <v>153455.57849999997</v>
      </c>
      <c r="AS47" s="88">
        <f t="shared" si="20"/>
        <v>153455.57849999997</v>
      </c>
      <c r="AT47" s="88">
        <f t="shared" si="20"/>
        <v>153455.57849999997</v>
      </c>
      <c r="AU47" s="88">
        <f t="shared" si="20"/>
        <v>76727.789249999987</v>
      </c>
      <c r="AV47" s="88">
        <f t="shared" si="20"/>
        <v>0</v>
      </c>
    </row>
    <row r="48" spans="1:49" outlineLevel="1">
      <c r="A48" s="23" t="s">
        <v>46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</row>
    <row r="49" spans="1:48" outlineLevel="1">
      <c r="A49" s="23"/>
      <c r="B49" s="24" t="s">
        <v>47</v>
      </c>
      <c r="C49" s="89">
        <f>'Budget Summary'!C45</f>
        <v>94080</v>
      </c>
      <c r="D49" s="89">
        <f>$C49*'Y1 Cash Flow Assumptions'!D49</f>
        <v>0</v>
      </c>
      <c r="E49" s="89">
        <f>$C49*'Y1 Cash Flow Assumptions'!E49</f>
        <v>4704</v>
      </c>
      <c r="F49" s="89">
        <f>$C49*'Y1 Cash Flow Assumptions'!F49</f>
        <v>9408</v>
      </c>
      <c r="G49" s="89">
        <f>$C49*'Y1 Cash Flow Assumptions'!G49</f>
        <v>9408</v>
      </c>
      <c r="H49" s="89">
        <f>$C49*'Y1 Cash Flow Assumptions'!H49</f>
        <v>9408</v>
      </c>
      <c r="I49" s="89">
        <f>$C49*'Y1 Cash Flow Assumptions'!I49</f>
        <v>9408</v>
      </c>
      <c r="J49" s="89">
        <f>$C49*'Y1 Cash Flow Assumptions'!J49</f>
        <v>9408</v>
      </c>
      <c r="K49" s="89">
        <f>$C49*'Y1 Cash Flow Assumptions'!K49</f>
        <v>9408</v>
      </c>
      <c r="L49" s="89">
        <f>$C49*'Y1 Cash Flow Assumptions'!L49</f>
        <v>9408</v>
      </c>
      <c r="M49" s="89">
        <f>$C49*'Y1 Cash Flow Assumptions'!M49</f>
        <v>9408</v>
      </c>
      <c r="N49" s="89">
        <f>$C49*'Y1 Cash Flow Assumptions'!N49</f>
        <v>9408</v>
      </c>
      <c r="O49" s="89">
        <f>$C49*'Y1 Cash Flow Assumptions'!O49</f>
        <v>4704</v>
      </c>
      <c r="P49" s="89">
        <f>$C49*'Y1 Cash Flow Assumptions'!P49</f>
        <v>0</v>
      </c>
      <c r="S49" s="89">
        <f>'Budget Summary'!D45</f>
        <v>128575.99999999999</v>
      </c>
      <c r="T49" s="89">
        <f>$S49*'Y2_3 Cash Flow Assumptions'!D49</f>
        <v>0</v>
      </c>
      <c r="U49" s="89">
        <f>$S49*'Y2_3 Cash Flow Assumptions'!E49</f>
        <v>6428.7999999999993</v>
      </c>
      <c r="V49" s="89">
        <f>$S49*'Y2_3 Cash Flow Assumptions'!F49</f>
        <v>12857.599999999999</v>
      </c>
      <c r="W49" s="89">
        <f>$S49*'Y2_3 Cash Flow Assumptions'!G49</f>
        <v>12857.599999999999</v>
      </c>
      <c r="X49" s="89">
        <f>$S49*'Y2_3 Cash Flow Assumptions'!H49</f>
        <v>12857.599999999999</v>
      </c>
      <c r="Y49" s="89">
        <f>$S49*'Y2_3 Cash Flow Assumptions'!I49</f>
        <v>12857.599999999999</v>
      </c>
      <c r="Z49" s="89">
        <f>$S49*'Y2_3 Cash Flow Assumptions'!J49</f>
        <v>12857.599999999999</v>
      </c>
      <c r="AA49" s="89">
        <f>$S49*'Y2_3 Cash Flow Assumptions'!K49</f>
        <v>12857.599999999999</v>
      </c>
      <c r="AB49" s="89">
        <f>$S49*'Y2_3 Cash Flow Assumptions'!L49</f>
        <v>12857.599999999999</v>
      </c>
      <c r="AC49" s="89">
        <f>$S49*'Y2_3 Cash Flow Assumptions'!M49</f>
        <v>12857.599999999999</v>
      </c>
      <c r="AD49" s="89">
        <f>$S49*'Y2_3 Cash Flow Assumptions'!N49</f>
        <v>12857.599999999999</v>
      </c>
      <c r="AE49" s="89">
        <f>$S49*'Y2_3 Cash Flow Assumptions'!O49</f>
        <v>6428.7999999999993</v>
      </c>
      <c r="AF49" s="89">
        <f>$S49*'Y2_3 Cash Flow Assumptions'!P49</f>
        <v>0</v>
      </c>
      <c r="AI49" s="89">
        <f>'Budget Summary'!E45</f>
        <v>131790.39999999997</v>
      </c>
      <c r="AJ49" s="89">
        <f>$AI49*'Y2_3 Cash Flow Assumptions'!D49</f>
        <v>0</v>
      </c>
      <c r="AK49" s="89">
        <f>$AI49*'Y2_3 Cash Flow Assumptions'!E49</f>
        <v>6589.5199999999986</v>
      </c>
      <c r="AL49" s="89">
        <f>$AI49*'Y2_3 Cash Flow Assumptions'!F49</f>
        <v>13179.039999999997</v>
      </c>
      <c r="AM49" s="89">
        <f>$AI49*'Y2_3 Cash Flow Assumptions'!G49</f>
        <v>13179.039999999997</v>
      </c>
      <c r="AN49" s="89">
        <f>$AI49*'Y2_3 Cash Flow Assumptions'!H49</f>
        <v>13179.039999999997</v>
      </c>
      <c r="AO49" s="89">
        <f>$AI49*'Y2_3 Cash Flow Assumptions'!I49</f>
        <v>13179.039999999997</v>
      </c>
      <c r="AP49" s="89">
        <f>$AI49*'Y2_3 Cash Flow Assumptions'!J49</f>
        <v>13179.039999999997</v>
      </c>
      <c r="AQ49" s="89">
        <f>$AI49*'Y2_3 Cash Flow Assumptions'!K49</f>
        <v>13179.039999999997</v>
      </c>
      <c r="AR49" s="89">
        <f>$AI49*'Y2_3 Cash Flow Assumptions'!L49</f>
        <v>13179.039999999997</v>
      </c>
      <c r="AS49" s="89">
        <f>$AI49*'Y2_3 Cash Flow Assumptions'!M49</f>
        <v>13179.039999999997</v>
      </c>
      <c r="AT49" s="89">
        <f>$AI49*'Y2_3 Cash Flow Assumptions'!N49</f>
        <v>13179.039999999997</v>
      </c>
      <c r="AU49" s="89">
        <f>$AI49*'Y2_3 Cash Flow Assumptions'!O49</f>
        <v>6589.5199999999986</v>
      </c>
      <c r="AV49" s="89">
        <f>$AI49*'Y2_3 Cash Flow Assumptions'!P49</f>
        <v>0</v>
      </c>
    </row>
    <row r="50" spans="1:48" outlineLevel="1">
      <c r="A50" s="23"/>
      <c r="B50" s="24" t="s">
        <v>14</v>
      </c>
      <c r="C50" s="89">
        <f>'Budget Summary'!C46</f>
        <v>62720</v>
      </c>
      <c r="D50" s="89">
        <f>$C50*'Y1 Cash Flow Assumptions'!D50</f>
        <v>0</v>
      </c>
      <c r="E50" s="89">
        <f>$C50*'Y1 Cash Flow Assumptions'!E50</f>
        <v>3136</v>
      </c>
      <c r="F50" s="89">
        <f>$C50*'Y1 Cash Flow Assumptions'!F50</f>
        <v>6272</v>
      </c>
      <c r="G50" s="89">
        <f>$C50*'Y1 Cash Flow Assumptions'!G50</f>
        <v>6272</v>
      </c>
      <c r="H50" s="89">
        <f>$C50*'Y1 Cash Flow Assumptions'!H50</f>
        <v>6272</v>
      </c>
      <c r="I50" s="89">
        <f>$C50*'Y1 Cash Flow Assumptions'!I50</f>
        <v>6272</v>
      </c>
      <c r="J50" s="89">
        <f>$C50*'Y1 Cash Flow Assumptions'!J50</f>
        <v>6272</v>
      </c>
      <c r="K50" s="89">
        <f>$C50*'Y1 Cash Flow Assumptions'!K50</f>
        <v>6272</v>
      </c>
      <c r="L50" s="89">
        <f>$C50*'Y1 Cash Flow Assumptions'!L50</f>
        <v>6272</v>
      </c>
      <c r="M50" s="89">
        <f>$C50*'Y1 Cash Flow Assumptions'!M50</f>
        <v>6272</v>
      </c>
      <c r="N50" s="89">
        <f>$C50*'Y1 Cash Flow Assumptions'!N50</f>
        <v>6272</v>
      </c>
      <c r="O50" s="89">
        <f>$C50*'Y1 Cash Flow Assumptions'!O50</f>
        <v>3136</v>
      </c>
      <c r="P50" s="89">
        <f>$C50*'Y1 Cash Flow Assumptions'!P50</f>
        <v>0</v>
      </c>
      <c r="S50" s="89">
        <f>'Budget Summary'!D46</f>
        <v>64287.999999999993</v>
      </c>
      <c r="T50" s="89">
        <f>$S50*'Y2_3 Cash Flow Assumptions'!D50</f>
        <v>0</v>
      </c>
      <c r="U50" s="89">
        <f>$S50*'Y2_3 Cash Flow Assumptions'!E50</f>
        <v>3214.3999999999996</v>
      </c>
      <c r="V50" s="89">
        <f>$S50*'Y2_3 Cash Flow Assumptions'!F50</f>
        <v>6428.7999999999993</v>
      </c>
      <c r="W50" s="89">
        <f>$S50*'Y2_3 Cash Flow Assumptions'!G50</f>
        <v>6428.7999999999993</v>
      </c>
      <c r="X50" s="89">
        <f>$S50*'Y2_3 Cash Flow Assumptions'!H50</f>
        <v>6428.7999999999993</v>
      </c>
      <c r="Y50" s="89">
        <f>$S50*'Y2_3 Cash Flow Assumptions'!I50</f>
        <v>6428.7999999999993</v>
      </c>
      <c r="Z50" s="89">
        <f>$S50*'Y2_3 Cash Flow Assumptions'!J50</f>
        <v>6428.7999999999993</v>
      </c>
      <c r="AA50" s="89">
        <f>$S50*'Y2_3 Cash Flow Assumptions'!K50</f>
        <v>6428.7999999999993</v>
      </c>
      <c r="AB50" s="89">
        <f>$S50*'Y2_3 Cash Flow Assumptions'!L50</f>
        <v>6428.7999999999993</v>
      </c>
      <c r="AC50" s="89">
        <f>$S50*'Y2_3 Cash Flow Assumptions'!M50</f>
        <v>6428.7999999999993</v>
      </c>
      <c r="AD50" s="89">
        <f>$S50*'Y2_3 Cash Flow Assumptions'!N50</f>
        <v>6428.7999999999993</v>
      </c>
      <c r="AE50" s="89">
        <f>$S50*'Y2_3 Cash Flow Assumptions'!O50</f>
        <v>3214.3999999999996</v>
      </c>
      <c r="AF50" s="89">
        <f>$S50*'Y2_3 Cash Flow Assumptions'!P50</f>
        <v>0</v>
      </c>
      <c r="AI50" s="89">
        <f>'Budget Summary'!E46</f>
        <v>65895.199999999983</v>
      </c>
      <c r="AJ50" s="89">
        <f>$AI50*'Y2_3 Cash Flow Assumptions'!D50</f>
        <v>0</v>
      </c>
      <c r="AK50" s="89">
        <f>$AI50*'Y2_3 Cash Flow Assumptions'!E50</f>
        <v>3294.7599999999993</v>
      </c>
      <c r="AL50" s="89">
        <f>$AI50*'Y2_3 Cash Flow Assumptions'!F50</f>
        <v>6589.5199999999986</v>
      </c>
      <c r="AM50" s="89">
        <f>$AI50*'Y2_3 Cash Flow Assumptions'!G50</f>
        <v>6589.5199999999986</v>
      </c>
      <c r="AN50" s="89">
        <f>$AI50*'Y2_3 Cash Flow Assumptions'!H50</f>
        <v>6589.5199999999986</v>
      </c>
      <c r="AO50" s="89">
        <f>$AI50*'Y2_3 Cash Flow Assumptions'!I50</f>
        <v>6589.5199999999986</v>
      </c>
      <c r="AP50" s="89">
        <f>$AI50*'Y2_3 Cash Flow Assumptions'!J50</f>
        <v>6589.5199999999986</v>
      </c>
      <c r="AQ50" s="89">
        <f>$AI50*'Y2_3 Cash Flow Assumptions'!K50</f>
        <v>6589.5199999999986</v>
      </c>
      <c r="AR50" s="89">
        <f>$AI50*'Y2_3 Cash Flow Assumptions'!L50</f>
        <v>6589.5199999999986</v>
      </c>
      <c r="AS50" s="89">
        <f>$AI50*'Y2_3 Cash Flow Assumptions'!M50</f>
        <v>6589.5199999999986</v>
      </c>
      <c r="AT50" s="89">
        <f>$AI50*'Y2_3 Cash Flow Assumptions'!N50</f>
        <v>6589.5199999999986</v>
      </c>
      <c r="AU50" s="89">
        <f>$AI50*'Y2_3 Cash Flow Assumptions'!O50</f>
        <v>3294.7599999999993</v>
      </c>
      <c r="AV50" s="89">
        <f>$AI50*'Y2_3 Cash Flow Assumptions'!P50</f>
        <v>0</v>
      </c>
    </row>
    <row r="51" spans="1:48" outlineLevel="1">
      <c r="A51" s="23"/>
      <c r="B51" s="24" t="s">
        <v>48</v>
      </c>
      <c r="C51" s="89">
        <f>'Budget Summary'!C47</f>
        <v>0</v>
      </c>
      <c r="D51" s="89">
        <f>$C51*'Y1 Cash Flow Assumptions'!D51</f>
        <v>0</v>
      </c>
      <c r="E51" s="89">
        <f>$C51*'Y1 Cash Flow Assumptions'!E51</f>
        <v>0</v>
      </c>
      <c r="F51" s="89">
        <f>$C51*'Y1 Cash Flow Assumptions'!F51</f>
        <v>0</v>
      </c>
      <c r="G51" s="89">
        <f>$C51*'Y1 Cash Flow Assumptions'!G51</f>
        <v>0</v>
      </c>
      <c r="H51" s="89">
        <f>$C51*'Y1 Cash Flow Assumptions'!H51</f>
        <v>0</v>
      </c>
      <c r="I51" s="89">
        <f>$C51*'Y1 Cash Flow Assumptions'!I51</f>
        <v>0</v>
      </c>
      <c r="J51" s="89">
        <f>$C51*'Y1 Cash Flow Assumptions'!J51</f>
        <v>0</v>
      </c>
      <c r="K51" s="89">
        <f>$C51*'Y1 Cash Flow Assumptions'!K51</f>
        <v>0</v>
      </c>
      <c r="L51" s="89">
        <f>$C51*'Y1 Cash Flow Assumptions'!L51</f>
        <v>0</v>
      </c>
      <c r="M51" s="89">
        <f>$C51*'Y1 Cash Flow Assumptions'!M51</f>
        <v>0</v>
      </c>
      <c r="N51" s="89">
        <f>$C51*'Y1 Cash Flow Assumptions'!N51</f>
        <v>0</v>
      </c>
      <c r="O51" s="89">
        <f>$C51*'Y1 Cash Flow Assumptions'!O51</f>
        <v>0</v>
      </c>
      <c r="P51" s="89">
        <f>$C51*'Y1 Cash Flow Assumptions'!P51</f>
        <v>0</v>
      </c>
      <c r="S51" s="89">
        <f>'Budget Summary'!D47</f>
        <v>0</v>
      </c>
      <c r="T51" s="89">
        <f>$S51*'Y2_3 Cash Flow Assumptions'!D51</f>
        <v>0</v>
      </c>
      <c r="U51" s="89">
        <f>$S51*'Y2_3 Cash Flow Assumptions'!E51</f>
        <v>0</v>
      </c>
      <c r="V51" s="89">
        <f>$S51*'Y2_3 Cash Flow Assumptions'!F51</f>
        <v>0</v>
      </c>
      <c r="W51" s="89">
        <f>$S51*'Y2_3 Cash Flow Assumptions'!G51</f>
        <v>0</v>
      </c>
      <c r="X51" s="89">
        <f>$S51*'Y2_3 Cash Flow Assumptions'!H51</f>
        <v>0</v>
      </c>
      <c r="Y51" s="89">
        <f>$S51*'Y2_3 Cash Flow Assumptions'!I51</f>
        <v>0</v>
      </c>
      <c r="Z51" s="89">
        <f>$S51*'Y2_3 Cash Flow Assumptions'!J51</f>
        <v>0</v>
      </c>
      <c r="AA51" s="89">
        <f>$S51*'Y2_3 Cash Flow Assumptions'!K51</f>
        <v>0</v>
      </c>
      <c r="AB51" s="89">
        <f>$S51*'Y2_3 Cash Flow Assumptions'!L51</f>
        <v>0</v>
      </c>
      <c r="AC51" s="89">
        <f>$S51*'Y2_3 Cash Flow Assumptions'!M51</f>
        <v>0</v>
      </c>
      <c r="AD51" s="89">
        <f>$S51*'Y2_3 Cash Flow Assumptions'!N51</f>
        <v>0</v>
      </c>
      <c r="AE51" s="89">
        <f>$S51*'Y2_3 Cash Flow Assumptions'!O51</f>
        <v>0</v>
      </c>
      <c r="AF51" s="89">
        <f>$S51*'Y2_3 Cash Flow Assumptions'!P51</f>
        <v>0</v>
      </c>
      <c r="AI51" s="89">
        <f>'Budget Summary'!E47</f>
        <v>0</v>
      </c>
      <c r="AJ51" s="89">
        <f>$AI51*'Y2_3 Cash Flow Assumptions'!D51</f>
        <v>0</v>
      </c>
      <c r="AK51" s="89">
        <f>$AI51*'Y2_3 Cash Flow Assumptions'!E51</f>
        <v>0</v>
      </c>
      <c r="AL51" s="89">
        <f>$AI51*'Y2_3 Cash Flow Assumptions'!F51</f>
        <v>0</v>
      </c>
      <c r="AM51" s="89">
        <f>$AI51*'Y2_3 Cash Flow Assumptions'!G51</f>
        <v>0</v>
      </c>
      <c r="AN51" s="89">
        <f>$AI51*'Y2_3 Cash Flow Assumptions'!H51</f>
        <v>0</v>
      </c>
      <c r="AO51" s="89">
        <f>$AI51*'Y2_3 Cash Flow Assumptions'!I51</f>
        <v>0</v>
      </c>
      <c r="AP51" s="89">
        <f>$AI51*'Y2_3 Cash Flow Assumptions'!J51</f>
        <v>0</v>
      </c>
      <c r="AQ51" s="89">
        <f>$AI51*'Y2_3 Cash Flow Assumptions'!K51</f>
        <v>0</v>
      </c>
      <c r="AR51" s="89">
        <f>$AI51*'Y2_3 Cash Flow Assumptions'!L51</f>
        <v>0</v>
      </c>
      <c r="AS51" s="89">
        <f>$AI51*'Y2_3 Cash Flow Assumptions'!M51</f>
        <v>0</v>
      </c>
      <c r="AT51" s="89">
        <f>$AI51*'Y2_3 Cash Flow Assumptions'!N51</f>
        <v>0</v>
      </c>
      <c r="AU51" s="89">
        <f>$AI51*'Y2_3 Cash Flow Assumptions'!O51</f>
        <v>0</v>
      </c>
      <c r="AV51" s="89">
        <f>$AI51*'Y2_3 Cash Flow Assumptions'!P51</f>
        <v>0</v>
      </c>
    </row>
    <row r="52" spans="1:48" outlineLevel="1">
      <c r="A52" s="23"/>
      <c r="B52" s="24" t="s">
        <v>49</v>
      </c>
      <c r="C52" s="89">
        <f>'Budget Summary'!C48</f>
        <v>129360</v>
      </c>
      <c r="D52" s="89">
        <f>$C52*'Y1 Cash Flow Assumptions'!D52</f>
        <v>0</v>
      </c>
      <c r="E52" s="89">
        <f>$C52*'Y1 Cash Flow Assumptions'!E52</f>
        <v>6468</v>
      </c>
      <c r="F52" s="89">
        <f>$C52*'Y1 Cash Flow Assumptions'!F52</f>
        <v>12936</v>
      </c>
      <c r="G52" s="89">
        <f>$C52*'Y1 Cash Flow Assumptions'!G52</f>
        <v>12936</v>
      </c>
      <c r="H52" s="89">
        <f>$C52*'Y1 Cash Flow Assumptions'!H52</f>
        <v>12936</v>
      </c>
      <c r="I52" s="89">
        <f>$C52*'Y1 Cash Flow Assumptions'!I52</f>
        <v>12936</v>
      </c>
      <c r="J52" s="89">
        <f>$C52*'Y1 Cash Flow Assumptions'!J52</f>
        <v>12936</v>
      </c>
      <c r="K52" s="89">
        <f>$C52*'Y1 Cash Flow Assumptions'!K52</f>
        <v>12936</v>
      </c>
      <c r="L52" s="89">
        <f>$C52*'Y1 Cash Flow Assumptions'!L52</f>
        <v>12936</v>
      </c>
      <c r="M52" s="89">
        <f>$C52*'Y1 Cash Flow Assumptions'!M52</f>
        <v>12936</v>
      </c>
      <c r="N52" s="89">
        <f>$C52*'Y1 Cash Flow Assumptions'!N52</f>
        <v>12936</v>
      </c>
      <c r="O52" s="89">
        <f>$C52*'Y1 Cash Flow Assumptions'!O52</f>
        <v>6468</v>
      </c>
      <c r="P52" s="89">
        <f>$C52*'Y1 Cash Flow Assumptions'!P52</f>
        <v>0</v>
      </c>
      <c r="S52" s="89">
        <f>'Budget Summary'!D48</f>
        <v>132593.99999999997</v>
      </c>
      <c r="T52" s="89">
        <f>$S52*'Y2_3 Cash Flow Assumptions'!D52</f>
        <v>0</v>
      </c>
      <c r="U52" s="89">
        <f>$S52*'Y2_3 Cash Flow Assumptions'!E52</f>
        <v>6629.6999999999989</v>
      </c>
      <c r="V52" s="89">
        <f>$S52*'Y2_3 Cash Flow Assumptions'!F52</f>
        <v>13259.399999999998</v>
      </c>
      <c r="W52" s="89">
        <f>$S52*'Y2_3 Cash Flow Assumptions'!G52</f>
        <v>13259.399999999998</v>
      </c>
      <c r="X52" s="89">
        <f>$S52*'Y2_3 Cash Flow Assumptions'!H52</f>
        <v>13259.399999999998</v>
      </c>
      <c r="Y52" s="89">
        <f>$S52*'Y2_3 Cash Flow Assumptions'!I52</f>
        <v>13259.399999999998</v>
      </c>
      <c r="Z52" s="89">
        <f>$S52*'Y2_3 Cash Flow Assumptions'!J52</f>
        <v>13259.399999999998</v>
      </c>
      <c r="AA52" s="89">
        <f>$S52*'Y2_3 Cash Flow Assumptions'!K52</f>
        <v>13259.399999999998</v>
      </c>
      <c r="AB52" s="89">
        <f>$S52*'Y2_3 Cash Flow Assumptions'!L52</f>
        <v>13259.399999999998</v>
      </c>
      <c r="AC52" s="89">
        <f>$S52*'Y2_3 Cash Flow Assumptions'!M52</f>
        <v>13259.399999999998</v>
      </c>
      <c r="AD52" s="89">
        <f>$S52*'Y2_3 Cash Flow Assumptions'!N52</f>
        <v>13259.399999999998</v>
      </c>
      <c r="AE52" s="89">
        <f>$S52*'Y2_3 Cash Flow Assumptions'!O52</f>
        <v>6629.6999999999989</v>
      </c>
      <c r="AF52" s="89">
        <f>$S52*'Y2_3 Cash Flow Assumptions'!P52</f>
        <v>0</v>
      </c>
      <c r="AI52" s="89">
        <f>'Budget Summary'!E48</f>
        <v>135908.84999999998</v>
      </c>
      <c r="AJ52" s="89">
        <f>$AI52*'Y2_3 Cash Flow Assumptions'!D52</f>
        <v>0</v>
      </c>
      <c r="AK52" s="89">
        <f>$AI52*'Y2_3 Cash Flow Assumptions'!E52</f>
        <v>6795.4424999999992</v>
      </c>
      <c r="AL52" s="89">
        <f>$AI52*'Y2_3 Cash Flow Assumptions'!F52</f>
        <v>13590.884999999998</v>
      </c>
      <c r="AM52" s="89">
        <f>$AI52*'Y2_3 Cash Flow Assumptions'!G52</f>
        <v>13590.884999999998</v>
      </c>
      <c r="AN52" s="89">
        <f>$AI52*'Y2_3 Cash Flow Assumptions'!H52</f>
        <v>13590.884999999998</v>
      </c>
      <c r="AO52" s="89">
        <f>$AI52*'Y2_3 Cash Flow Assumptions'!I52</f>
        <v>13590.884999999998</v>
      </c>
      <c r="AP52" s="89">
        <f>$AI52*'Y2_3 Cash Flow Assumptions'!J52</f>
        <v>13590.884999999998</v>
      </c>
      <c r="AQ52" s="89">
        <f>$AI52*'Y2_3 Cash Flow Assumptions'!K52</f>
        <v>13590.884999999998</v>
      </c>
      <c r="AR52" s="89">
        <f>$AI52*'Y2_3 Cash Flow Assumptions'!L52</f>
        <v>13590.884999999998</v>
      </c>
      <c r="AS52" s="89">
        <f>$AI52*'Y2_3 Cash Flow Assumptions'!M52</f>
        <v>13590.884999999998</v>
      </c>
      <c r="AT52" s="89">
        <f>$AI52*'Y2_3 Cash Flow Assumptions'!N52</f>
        <v>13590.884999999998</v>
      </c>
      <c r="AU52" s="89">
        <f>$AI52*'Y2_3 Cash Flow Assumptions'!O52</f>
        <v>6795.4424999999992</v>
      </c>
      <c r="AV52" s="89">
        <f>$AI52*'Y2_3 Cash Flow Assumptions'!P52</f>
        <v>0</v>
      </c>
    </row>
    <row r="53" spans="1:48" outlineLevel="1">
      <c r="A53" s="23"/>
      <c r="B53" s="24" t="s">
        <v>294</v>
      </c>
      <c r="C53" s="89">
        <f>'Budget Summary'!C49</f>
        <v>0</v>
      </c>
      <c r="D53" s="89">
        <f>$C53*'Y1 Cash Flow Assumptions'!D53</f>
        <v>0</v>
      </c>
      <c r="E53" s="89">
        <f>$C53*'Y1 Cash Flow Assumptions'!E53</f>
        <v>0</v>
      </c>
      <c r="F53" s="89">
        <f>$C53*'Y1 Cash Flow Assumptions'!F53</f>
        <v>0</v>
      </c>
      <c r="G53" s="89">
        <f>$C53*'Y1 Cash Flow Assumptions'!G53</f>
        <v>0</v>
      </c>
      <c r="H53" s="89">
        <f>$C53*'Y1 Cash Flow Assumptions'!H53</f>
        <v>0</v>
      </c>
      <c r="I53" s="89">
        <f>$C53*'Y1 Cash Flow Assumptions'!I53</f>
        <v>0</v>
      </c>
      <c r="J53" s="89">
        <f>$C53*'Y1 Cash Flow Assumptions'!J53</f>
        <v>0</v>
      </c>
      <c r="K53" s="89">
        <f>$C53*'Y1 Cash Flow Assumptions'!K53</f>
        <v>0</v>
      </c>
      <c r="L53" s="89">
        <f>$C53*'Y1 Cash Flow Assumptions'!L53</f>
        <v>0</v>
      </c>
      <c r="M53" s="89">
        <f>$C53*'Y1 Cash Flow Assumptions'!M53</f>
        <v>0</v>
      </c>
      <c r="N53" s="89">
        <f>$C53*'Y1 Cash Flow Assumptions'!N53</f>
        <v>0</v>
      </c>
      <c r="O53" s="89">
        <f>$C53*'Y1 Cash Flow Assumptions'!O53</f>
        <v>0</v>
      </c>
      <c r="P53" s="89">
        <f>$C53*'Y1 Cash Flow Assumptions'!P53</f>
        <v>0</v>
      </c>
      <c r="S53" s="89">
        <f>'Budget Summary'!D49</f>
        <v>0</v>
      </c>
      <c r="T53" s="89">
        <f>$S53*'Y2_3 Cash Flow Assumptions'!D53</f>
        <v>0</v>
      </c>
      <c r="U53" s="89">
        <f>$S53*'Y2_3 Cash Flow Assumptions'!E53</f>
        <v>0</v>
      </c>
      <c r="V53" s="89">
        <f>$S53*'Y2_3 Cash Flow Assumptions'!F53</f>
        <v>0</v>
      </c>
      <c r="W53" s="89">
        <f>$S53*'Y2_3 Cash Flow Assumptions'!G53</f>
        <v>0</v>
      </c>
      <c r="X53" s="89">
        <f>$S53*'Y2_3 Cash Flow Assumptions'!H53</f>
        <v>0</v>
      </c>
      <c r="Y53" s="89">
        <f>$S53*'Y2_3 Cash Flow Assumptions'!I53</f>
        <v>0</v>
      </c>
      <c r="Z53" s="89">
        <f>$S53*'Y2_3 Cash Flow Assumptions'!J53</f>
        <v>0</v>
      </c>
      <c r="AA53" s="89">
        <f>$S53*'Y2_3 Cash Flow Assumptions'!K53</f>
        <v>0</v>
      </c>
      <c r="AB53" s="89">
        <f>$S53*'Y2_3 Cash Flow Assumptions'!L53</f>
        <v>0</v>
      </c>
      <c r="AC53" s="89">
        <f>$S53*'Y2_3 Cash Flow Assumptions'!M53</f>
        <v>0</v>
      </c>
      <c r="AD53" s="89">
        <f>$S53*'Y2_3 Cash Flow Assumptions'!N53</f>
        <v>0</v>
      </c>
      <c r="AE53" s="89">
        <f>$S53*'Y2_3 Cash Flow Assumptions'!O53</f>
        <v>0</v>
      </c>
      <c r="AF53" s="89">
        <f>$S53*'Y2_3 Cash Flow Assumptions'!P53</f>
        <v>0</v>
      </c>
      <c r="AI53" s="89">
        <f>'Budget Summary'!E49</f>
        <v>0</v>
      </c>
      <c r="AJ53" s="89">
        <f>$AI53*'Y2_3 Cash Flow Assumptions'!D53</f>
        <v>0</v>
      </c>
      <c r="AK53" s="89">
        <f>$AI53*'Y2_3 Cash Flow Assumptions'!E53</f>
        <v>0</v>
      </c>
      <c r="AL53" s="89">
        <f>$AI53*'Y2_3 Cash Flow Assumptions'!F53</f>
        <v>0</v>
      </c>
      <c r="AM53" s="89">
        <f>$AI53*'Y2_3 Cash Flow Assumptions'!G53</f>
        <v>0</v>
      </c>
      <c r="AN53" s="89">
        <f>$AI53*'Y2_3 Cash Flow Assumptions'!H53</f>
        <v>0</v>
      </c>
      <c r="AO53" s="89">
        <f>$AI53*'Y2_3 Cash Flow Assumptions'!I53</f>
        <v>0</v>
      </c>
      <c r="AP53" s="89">
        <f>$AI53*'Y2_3 Cash Flow Assumptions'!J53</f>
        <v>0</v>
      </c>
      <c r="AQ53" s="89">
        <f>$AI53*'Y2_3 Cash Flow Assumptions'!K53</f>
        <v>0</v>
      </c>
      <c r="AR53" s="89">
        <f>$AI53*'Y2_3 Cash Flow Assumptions'!L53</f>
        <v>0</v>
      </c>
      <c r="AS53" s="89">
        <f>$AI53*'Y2_3 Cash Flow Assumptions'!M53</f>
        <v>0</v>
      </c>
      <c r="AT53" s="89">
        <f>$AI53*'Y2_3 Cash Flow Assumptions'!N53</f>
        <v>0</v>
      </c>
      <c r="AU53" s="89">
        <f>$AI53*'Y2_3 Cash Flow Assumptions'!O53</f>
        <v>0</v>
      </c>
      <c r="AV53" s="89">
        <f>$AI53*'Y2_3 Cash Flow Assumptions'!P53</f>
        <v>0</v>
      </c>
    </row>
    <row r="54" spans="1:48" outlineLevel="1">
      <c r="A54" s="23"/>
      <c r="B54" s="24" t="s">
        <v>50</v>
      </c>
      <c r="C54" s="89">
        <f>'Budget Summary'!C50</f>
        <v>72520</v>
      </c>
      <c r="D54" s="89">
        <f>$C54*'Y1 Cash Flow Assumptions'!D54</f>
        <v>0</v>
      </c>
      <c r="E54" s="89">
        <f>$C54*'Y1 Cash Flow Assumptions'!E54</f>
        <v>3626</v>
      </c>
      <c r="F54" s="89">
        <f>$C54*'Y1 Cash Flow Assumptions'!F54</f>
        <v>7252</v>
      </c>
      <c r="G54" s="89">
        <f>$C54*'Y1 Cash Flow Assumptions'!G54</f>
        <v>7252</v>
      </c>
      <c r="H54" s="89">
        <f>$C54*'Y1 Cash Flow Assumptions'!H54</f>
        <v>7252</v>
      </c>
      <c r="I54" s="89">
        <f>$C54*'Y1 Cash Flow Assumptions'!I54</f>
        <v>7252</v>
      </c>
      <c r="J54" s="89">
        <f>$C54*'Y1 Cash Flow Assumptions'!J54</f>
        <v>7252</v>
      </c>
      <c r="K54" s="89">
        <f>$C54*'Y1 Cash Flow Assumptions'!K54</f>
        <v>7252</v>
      </c>
      <c r="L54" s="89">
        <f>$C54*'Y1 Cash Flow Assumptions'!L54</f>
        <v>7252</v>
      </c>
      <c r="M54" s="89">
        <f>$C54*'Y1 Cash Flow Assumptions'!M54</f>
        <v>7252</v>
      </c>
      <c r="N54" s="89">
        <f>$C54*'Y1 Cash Flow Assumptions'!N54</f>
        <v>7252</v>
      </c>
      <c r="O54" s="89">
        <f>$C54*'Y1 Cash Flow Assumptions'!O54</f>
        <v>3626</v>
      </c>
      <c r="P54" s="89">
        <f>$C54*'Y1 Cash Flow Assumptions'!P54</f>
        <v>0</v>
      </c>
      <c r="S54" s="89">
        <f>'Budget Summary'!D50</f>
        <v>74333</v>
      </c>
      <c r="T54" s="89">
        <f>$S54*'Y2_3 Cash Flow Assumptions'!D54</f>
        <v>0</v>
      </c>
      <c r="U54" s="89">
        <f>$S54*'Y2_3 Cash Flow Assumptions'!E54</f>
        <v>3716.65</v>
      </c>
      <c r="V54" s="89">
        <f>$S54*'Y2_3 Cash Flow Assumptions'!F54</f>
        <v>7433.3</v>
      </c>
      <c r="W54" s="89">
        <f>$S54*'Y2_3 Cash Flow Assumptions'!G54</f>
        <v>7433.3</v>
      </c>
      <c r="X54" s="89">
        <f>$S54*'Y2_3 Cash Flow Assumptions'!H54</f>
        <v>7433.3</v>
      </c>
      <c r="Y54" s="89">
        <f>$S54*'Y2_3 Cash Flow Assumptions'!I54</f>
        <v>7433.3</v>
      </c>
      <c r="Z54" s="89">
        <f>$S54*'Y2_3 Cash Flow Assumptions'!J54</f>
        <v>7433.3</v>
      </c>
      <c r="AA54" s="89">
        <f>$S54*'Y2_3 Cash Flow Assumptions'!K54</f>
        <v>7433.3</v>
      </c>
      <c r="AB54" s="89">
        <f>$S54*'Y2_3 Cash Flow Assumptions'!L54</f>
        <v>7433.3</v>
      </c>
      <c r="AC54" s="89">
        <f>$S54*'Y2_3 Cash Flow Assumptions'!M54</f>
        <v>7433.3</v>
      </c>
      <c r="AD54" s="89">
        <f>$S54*'Y2_3 Cash Flow Assumptions'!N54</f>
        <v>7433.3</v>
      </c>
      <c r="AE54" s="89">
        <f>$S54*'Y2_3 Cash Flow Assumptions'!O54</f>
        <v>3716.65</v>
      </c>
      <c r="AF54" s="89">
        <f>$S54*'Y2_3 Cash Flow Assumptions'!P54</f>
        <v>0</v>
      </c>
      <c r="AI54" s="89">
        <f>'Budget Summary'!E50</f>
        <v>76191.324999999997</v>
      </c>
      <c r="AJ54" s="89">
        <f>$AI54*'Y2_3 Cash Flow Assumptions'!D54</f>
        <v>0</v>
      </c>
      <c r="AK54" s="89">
        <f>$AI54*'Y2_3 Cash Flow Assumptions'!E54</f>
        <v>3809.5662499999999</v>
      </c>
      <c r="AL54" s="89">
        <f>$AI54*'Y2_3 Cash Flow Assumptions'!F54</f>
        <v>7619.1324999999997</v>
      </c>
      <c r="AM54" s="89">
        <f>$AI54*'Y2_3 Cash Flow Assumptions'!G54</f>
        <v>7619.1324999999997</v>
      </c>
      <c r="AN54" s="89">
        <f>$AI54*'Y2_3 Cash Flow Assumptions'!H54</f>
        <v>7619.1324999999997</v>
      </c>
      <c r="AO54" s="89">
        <f>$AI54*'Y2_3 Cash Flow Assumptions'!I54</f>
        <v>7619.1324999999997</v>
      </c>
      <c r="AP54" s="89">
        <f>$AI54*'Y2_3 Cash Flow Assumptions'!J54</f>
        <v>7619.1324999999997</v>
      </c>
      <c r="AQ54" s="89">
        <f>$AI54*'Y2_3 Cash Flow Assumptions'!K54</f>
        <v>7619.1324999999997</v>
      </c>
      <c r="AR54" s="89">
        <f>$AI54*'Y2_3 Cash Flow Assumptions'!L54</f>
        <v>7619.1324999999997</v>
      </c>
      <c r="AS54" s="89">
        <f>$AI54*'Y2_3 Cash Flow Assumptions'!M54</f>
        <v>7619.1324999999997</v>
      </c>
      <c r="AT54" s="89">
        <f>$AI54*'Y2_3 Cash Flow Assumptions'!N54</f>
        <v>7619.1324999999997</v>
      </c>
      <c r="AU54" s="89">
        <f>$AI54*'Y2_3 Cash Flow Assumptions'!O54</f>
        <v>3809.5662499999999</v>
      </c>
      <c r="AV54" s="89">
        <f>$AI54*'Y2_3 Cash Flow Assumptions'!P54</f>
        <v>0</v>
      </c>
    </row>
    <row r="55" spans="1:48">
      <c r="A55" s="23" t="s">
        <v>46</v>
      </c>
      <c r="C55" s="88">
        <f>SUM(C49:C54)</f>
        <v>358680</v>
      </c>
      <c r="D55" s="88">
        <f t="shared" ref="D55:P55" si="21">SUM(D49:D54)</f>
        <v>0</v>
      </c>
      <c r="E55" s="88">
        <f t="shared" si="21"/>
        <v>17934</v>
      </c>
      <c r="F55" s="88">
        <f t="shared" si="21"/>
        <v>35868</v>
      </c>
      <c r="G55" s="88">
        <f t="shared" si="21"/>
        <v>35868</v>
      </c>
      <c r="H55" s="88">
        <f t="shared" si="21"/>
        <v>35868</v>
      </c>
      <c r="I55" s="88">
        <f t="shared" si="21"/>
        <v>35868</v>
      </c>
      <c r="J55" s="88">
        <f t="shared" si="21"/>
        <v>35868</v>
      </c>
      <c r="K55" s="88">
        <f t="shared" si="21"/>
        <v>35868</v>
      </c>
      <c r="L55" s="88">
        <f t="shared" si="21"/>
        <v>35868</v>
      </c>
      <c r="M55" s="88">
        <f t="shared" si="21"/>
        <v>35868</v>
      </c>
      <c r="N55" s="88">
        <f t="shared" si="21"/>
        <v>35868</v>
      </c>
      <c r="O55" s="88">
        <f t="shared" si="21"/>
        <v>17934</v>
      </c>
      <c r="P55" s="88">
        <f t="shared" si="21"/>
        <v>0</v>
      </c>
      <c r="S55" s="88">
        <f>SUM(S49:S54)</f>
        <v>399790.99999999994</v>
      </c>
      <c r="T55" s="88">
        <f t="shared" ref="T55:AF55" si="22">SUM(T49:T54)</f>
        <v>0</v>
      </c>
      <c r="U55" s="88">
        <f t="shared" si="22"/>
        <v>19989.55</v>
      </c>
      <c r="V55" s="88">
        <f t="shared" si="22"/>
        <v>39979.1</v>
      </c>
      <c r="W55" s="88">
        <f t="shared" si="22"/>
        <v>39979.1</v>
      </c>
      <c r="X55" s="88">
        <f t="shared" si="22"/>
        <v>39979.1</v>
      </c>
      <c r="Y55" s="88">
        <f t="shared" si="22"/>
        <v>39979.1</v>
      </c>
      <c r="Z55" s="88">
        <f t="shared" si="22"/>
        <v>39979.1</v>
      </c>
      <c r="AA55" s="88">
        <f t="shared" si="22"/>
        <v>39979.1</v>
      </c>
      <c r="AB55" s="88">
        <f t="shared" si="22"/>
        <v>39979.1</v>
      </c>
      <c r="AC55" s="88">
        <f t="shared" si="22"/>
        <v>39979.1</v>
      </c>
      <c r="AD55" s="88">
        <f t="shared" si="22"/>
        <v>39979.1</v>
      </c>
      <c r="AE55" s="88">
        <f t="shared" si="22"/>
        <v>19989.55</v>
      </c>
      <c r="AF55" s="88">
        <f t="shared" si="22"/>
        <v>0</v>
      </c>
      <c r="AI55" s="88">
        <f>SUM(AI49:AI54)</f>
        <v>409785.77499999997</v>
      </c>
      <c r="AJ55" s="88">
        <f t="shared" ref="AJ55:AV55" si="23">SUM(AJ49:AJ54)</f>
        <v>0</v>
      </c>
      <c r="AK55" s="88">
        <f t="shared" si="23"/>
        <v>20489.288749999996</v>
      </c>
      <c r="AL55" s="88">
        <f t="shared" si="23"/>
        <v>40978.577499999992</v>
      </c>
      <c r="AM55" s="88">
        <f t="shared" si="23"/>
        <v>40978.577499999992</v>
      </c>
      <c r="AN55" s="88">
        <f t="shared" si="23"/>
        <v>40978.577499999992</v>
      </c>
      <c r="AO55" s="88">
        <f t="shared" si="23"/>
        <v>40978.577499999992</v>
      </c>
      <c r="AP55" s="88">
        <f t="shared" si="23"/>
        <v>40978.577499999992</v>
      </c>
      <c r="AQ55" s="88">
        <f t="shared" si="23"/>
        <v>40978.577499999992</v>
      </c>
      <c r="AR55" s="88">
        <f t="shared" si="23"/>
        <v>40978.577499999992</v>
      </c>
      <c r="AS55" s="88">
        <f t="shared" si="23"/>
        <v>40978.577499999992</v>
      </c>
      <c r="AT55" s="88">
        <f t="shared" si="23"/>
        <v>40978.577499999992</v>
      </c>
      <c r="AU55" s="88">
        <f t="shared" si="23"/>
        <v>20489.288749999996</v>
      </c>
      <c r="AV55" s="88">
        <f t="shared" si="23"/>
        <v>0</v>
      </c>
    </row>
    <row r="56" spans="1:48" outlineLevel="1">
      <c r="A56" s="23" t="s">
        <v>51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</row>
    <row r="57" spans="1:48" outlineLevel="1">
      <c r="A57" s="23"/>
      <c r="B57" s="24" t="s">
        <v>15</v>
      </c>
      <c r="C57" s="89">
        <f>'Budget Summary'!C53</f>
        <v>0</v>
      </c>
      <c r="D57" s="89">
        <f>$C57*'Y1 Cash Flow Assumptions'!D57</f>
        <v>0</v>
      </c>
      <c r="E57" s="89">
        <f>$C57*'Y1 Cash Flow Assumptions'!E57</f>
        <v>0</v>
      </c>
      <c r="F57" s="89">
        <f>$C57*'Y1 Cash Flow Assumptions'!F57</f>
        <v>0</v>
      </c>
      <c r="G57" s="89">
        <f>$C57*'Y1 Cash Flow Assumptions'!G57</f>
        <v>0</v>
      </c>
      <c r="H57" s="89">
        <f>$C57*'Y1 Cash Flow Assumptions'!H57</f>
        <v>0</v>
      </c>
      <c r="I57" s="89">
        <f>$C57*'Y1 Cash Flow Assumptions'!I57</f>
        <v>0</v>
      </c>
      <c r="J57" s="89">
        <f>$C57*'Y1 Cash Flow Assumptions'!J57</f>
        <v>0</v>
      </c>
      <c r="K57" s="89">
        <f>$C57*'Y1 Cash Flow Assumptions'!K57</f>
        <v>0</v>
      </c>
      <c r="L57" s="89">
        <f>$C57*'Y1 Cash Flow Assumptions'!L57</f>
        <v>0</v>
      </c>
      <c r="M57" s="89">
        <f>$C57*'Y1 Cash Flow Assumptions'!M57</f>
        <v>0</v>
      </c>
      <c r="N57" s="89">
        <f>$C57*'Y1 Cash Flow Assumptions'!N57</f>
        <v>0</v>
      </c>
      <c r="O57" s="89">
        <f>$C57*'Y1 Cash Flow Assumptions'!O57</f>
        <v>0</v>
      </c>
      <c r="P57" s="89">
        <f>$C57*'Y1 Cash Flow Assumptions'!P57</f>
        <v>0</v>
      </c>
      <c r="S57" s="89">
        <f>'Budget Summary'!D53</f>
        <v>0</v>
      </c>
      <c r="T57" s="89">
        <f>$S57*'Y2_3 Cash Flow Assumptions'!D57</f>
        <v>0</v>
      </c>
      <c r="U57" s="89">
        <f>$S57*'Y2_3 Cash Flow Assumptions'!E57</f>
        <v>0</v>
      </c>
      <c r="V57" s="89">
        <f>$S57*'Y2_3 Cash Flow Assumptions'!F57</f>
        <v>0</v>
      </c>
      <c r="W57" s="89">
        <f>$S57*'Y2_3 Cash Flow Assumptions'!G57</f>
        <v>0</v>
      </c>
      <c r="X57" s="89">
        <f>$S57*'Y2_3 Cash Flow Assumptions'!H57</f>
        <v>0</v>
      </c>
      <c r="Y57" s="89">
        <f>$S57*'Y2_3 Cash Flow Assumptions'!I57</f>
        <v>0</v>
      </c>
      <c r="Z57" s="89">
        <f>$S57*'Y2_3 Cash Flow Assumptions'!J57</f>
        <v>0</v>
      </c>
      <c r="AA57" s="89">
        <f>$S57*'Y2_3 Cash Flow Assumptions'!K57</f>
        <v>0</v>
      </c>
      <c r="AB57" s="89">
        <f>$S57*'Y2_3 Cash Flow Assumptions'!L57</f>
        <v>0</v>
      </c>
      <c r="AC57" s="89">
        <f>$S57*'Y2_3 Cash Flow Assumptions'!M57</f>
        <v>0</v>
      </c>
      <c r="AD57" s="89">
        <f>$S57*'Y2_3 Cash Flow Assumptions'!N57</f>
        <v>0</v>
      </c>
      <c r="AE57" s="89">
        <f>$S57*'Y2_3 Cash Flow Assumptions'!O57</f>
        <v>0</v>
      </c>
      <c r="AF57" s="89">
        <f>$S57*'Y2_3 Cash Flow Assumptions'!P57</f>
        <v>0</v>
      </c>
      <c r="AI57" s="89">
        <f>'Budget Summary'!E53</f>
        <v>0</v>
      </c>
      <c r="AJ57" s="89">
        <f>$AI57*'Y2_3 Cash Flow Assumptions'!D57</f>
        <v>0</v>
      </c>
      <c r="AK57" s="89">
        <f>$AI57*'Y2_3 Cash Flow Assumptions'!E57</f>
        <v>0</v>
      </c>
      <c r="AL57" s="89">
        <f>$AI57*'Y2_3 Cash Flow Assumptions'!F57</f>
        <v>0</v>
      </c>
      <c r="AM57" s="89">
        <f>$AI57*'Y2_3 Cash Flow Assumptions'!G57</f>
        <v>0</v>
      </c>
      <c r="AN57" s="89">
        <f>$AI57*'Y2_3 Cash Flow Assumptions'!H57</f>
        <v>0</v>
      </c>
      <c r="AO57" s="89">
        <f>$AI57*'Y2_3 Cash Flow Assumptions'!I57</f>
        <v>0</v>
      </c>
      <c r="AP57" s="89">
        <f>$AI57*'Y2_3 Cash Flow Assumptions'!J57</f>
        <v>0</v>
      </c>
      <c r="AQ57" s="89">
        <f>$AI57*'Y2_3 Cash Flow Assumptions'!K57</f>
        <v>0</v>
      </c>
      <c r="AR57" s="89">
        <f>$AI57*'Y2_3 Cash Flow Assumptions'!L57</f>
        <v>0</v>
      </c>
      <c r="AS57" s="89">
        <f>$AI57*'Y2_3 Cash Flow Assumptions'!M57</f>
        <v>0</v>
      </c>
      <c r="AT57" s="89">
        <f>$AI57*'Y2_3 Cash Flow Assumptions'!N57</f>
        <v>0</v>
      </c>
      <c r="AU57" s="89">
        <f>$AI57*'Y2_3 Cash Flow Assumptions'!O57</f>
        <v>0</v>
      </c>
      <c r="AV57" s="89">
        <f>$AI57*'Y2_3 Cash Flow Assumptions'!P57</f>
        <v>0</v>
      </c>
    </row>
    <row r="58" spans="1:48" outlineLevel="1">
      <c r="A58" s="23"/>
      <c r="B58" s="24" t="s">
        <v>16</v>
      </c>
      <c r="C58" s="89">
        <f>'Budget Summary'!C54</f>
        <v>0</v>
      </c>
      <c r="D58" s="89">
        <f>$C58*'Y1 Cash Flow Assumptions'!D58</f>
        <v>0</v>
      </c>
      <c r="E58" s="89">
        <f>$C58*'Y1 Cash Flow Assumptions'!E58</f>
        <v>0</v>
      </c>
      <c r="F58" s="89">
        <f>$C58*'Y1 Cash Flow Assumptions'!F58</f>
        <v>0</v>
      </c>
      <c r="G58" s="89">
        <f>$C58*'Y1 Cash Flow Assumptions'!G58</f>
        <v>0</v>
      </c>
      <c r="H58" s="89">
        <f>$C58*'Y1 Cash Flow Assumptions'!H58</f>
        <v>0</v>
      </c>
      <c r="I58" s="89">
        <f>$C58*'Y1 Cash Flow Assumptions'!I58</f>
        <v>0</v>
      </c>
      <c r="J58" s="89">
        <f>$C58*'Y1 Cash Flow Assumptions'!J58</f>
        <v>0</v>
      </c>
      <c r="K58" s="89">
        <f>$C58*'Y1 Cash Flow Assumptions'!K58</f>
        <v>0</v>
      </c>
      <c r="L58" s="89">
        <f>$C58*'Y1 Cash Flow Assumptions'!L58</f>
        <v>0</v>
      </c>
      <c r="M58" s="89">
        <f>$C58*'Y1 Cash Flow Assumptions'!M58</f>
        <v>0</v>
      </c>
      <c r="N58" s="89">
        <f>$C58*'Y1 Cash Flow Assumptions'!N58</f>
        <v>0</v>
      </c>
      <c r="O58" s="89">
        <f>$C58*'Y1 Cash Flow Assumptions'!O58</f>
        <v>0</v>
      </c>
      <c r="P58" s="89">
        <f>$C58*'Y1 Cash Flow Assumptions'!P58</f>
        <v>0</v>
      </c>
      <c r="S58" s="89">
        <f>'Budget Summary'!D54</f>
        <v>0</v>
      </c>
      <c r="T58" s="89">
        <f>$S58*'Y2_3 Cash Flow Assumptions'!D58</f>
        <v>0</v>
      </c>
      <c r="U58" s="89">
        <f>$S58*'Y2_3 Cash Flow Assumptions'!E58</f>
        <v>0</v>
      </c>
      <c r="V58" s="89">
        <f>$S58*'Y2_3 Cash Flow Assumptions'!F58</f>
        <v>0</v>
      </c>
      <c r="W58" s="89">
        <f>$S58*'Y2_3 Cash Flow Assumptions'!G58</f>
        <v>0</v>
      </c>
      <c r="X58" s="89">
        <f>$S58*'Y2_3 Cash Flow Assumptions'!H58</f>
        <v>0</v>
      </c>
      <c r="Y58" s="89">
        <f>$S58*'Y2_3 Cash Flow Assumptions'!I58</f>
        <v>0</v>
      </c>
      <c r="Z58" s="89">
        <f>$S58*'Y2_3 Cash Flow Assumptions'!J58</f>
        <v>0</v>
      </c>
      <c r="AA58" s="89">
        <f>$S58*'Y2_3 Cash Flow Assumptions'!K58</f>
        <v>0</v>
      </c>
      <c r="AB58" s="89">
        <f>$S58*'Y2_3 Cash Flow Assumptions'!L58</f>
        <v>0</v>
      </c>
      <c r="AC58" s="89">
        <f>$S58*'Y2_3 Cash Flow Assumptions'!M58</f>
        <v>0</v>
      </c>
      <c r="AD58" s="89">
        <f>$S58*'Y2_3 Cash Flow Assumptions'!N58</f>
        <v>0</v>
      </c>
      <c r="AE58" s="89">
        <f>$S58*'Y2_3 Cash Flow Assumptions'!O58</f>
        <v>0</v>
      </c>
      <c r="AF58" s="89">
        <f>$S58*'Y2_3 Cash Flow Assumptions'!P58</f>
        <v>0</v>
      </c>
      <c r="AI58" s="89">
        <f>'Budget Summary'!E54</f>
        <v>0</v>
      </c>
      <c r="AJ58" s="89">
        <f>$AI58*'Y2_3 Cash Flow Assumptions'!D58</f>
        <v>0</v>
      </c>
      <c r="AK58" s="89">
        <f>$AI58*'Y2_3 Cash Flow Assumptions'!E58</f>
        <v>0</v>
      </c>
      <c r="AL58" s="89">
        <f>$AI58*'Y2_3 Cash Flow Assumptions'!F58</f>
        <v>0</v>
      </c>
      <c r="AM58" s="89">
        <f>$AI58*'Y2_3 Cash Flow Assumptions'!G58</f>
        <v>0</v>
      </c>
      <c r="AN58" s="89">
        <f>$AI58*'Y2_3 Cash Flow Assumptions'!H58</f>
        <v>0</v>
      </c>
      <c r="AO58" s="89">
        <f>$AI58*'Y2_3 Cash Flow Assumptions'!I58</f>
        <v>0</v>
      </c>
      <c r="AP58" s="89">
        <f>$AI58*'Y2_3 Cash Flow Assumptions'!J58</f>
        <v>0</v>
      </c>
      <c r="AQ58" s="89">
        <f>$AI58*'Y2_3 Cash Flow Assumptions'!K58</f>
        <v>0</v>
      </c>
      <c r="AR58" s="89">
        <f>$AI58*'Y2_3 Cash Flow Assumptions'!L58</f>
        <v>0</v>
      </c>
      <c r="AS58" s="89">
        <f>$AI58*'Y2_3 Cash Flow Assumptions'!M58</f>
        <v>0</v>
      </c>
      <c r="AT58" s="89">
        <f>$AI58*'Y2_3 Cash Flow Assumptions'!N58</f>
        <v>0</v>
      </c>
      <c r="AU58" s="89">
        <f>$AI58*'Y2_3 Cash Flow Assumptions'!O58</f>
        <v>0</v>
      </c>
      <c r="AV58" s="89">
        <f>$AI58*'Y2_3 Cash Flow Assumptions'!P58</f>
        <v>0</v>
      </c>
    </row>
    <row r="59" spans="1:48" outlineLevel="1">
      <c r="A59" s="23"/>
      <c r="B59" s="24" t="s">
        <v>17</v>
      </c>
      <c r="C59" s="89">
        <f>'Budget Summary'!C55</f>
        <v>99684.096000000005</v>
      </c>
      <c r="D59" s="89">
        <f>$C59*'Y1 Cash Flow Assumptions'!D59</f>
        <v>0</v>
      </c>
      <c r="E59" s="89">
        <f>$C59*'Y1 Cash Flow Assumptions'!E59</f>
        <v>4984.2048000000004</v>
      </c>
      <c r="F59" s="89">
        <f>$C59*'Y1 Cash Flow Assumptions'!F59</f>
        <v>9968.4096000000009</v>
      </c>
      <c r="G59" s="89">
        <f>$C59*'Y1 Cash Flow Assumptions'!G59</f>
        <v>9968.4096000000009</v>
      </c>
      <c r="H59" s="89">
        <f>$C59*'Y1 Cash Flow Assumptions'!H59</f>
        <v>9968.4096000000009</v>
      </c>
      <c r="I59" s="89">
        <f>$C59*'Y1 Cash Flow Assumptions'!I59</f>
        <v>9968.4096000000009</v>
      </c>
      <c r="J59" s="89">
        <f>$C59*'Y1 Cash Flow Assumptions'!J59</f>
        <v>9968.4096000000009</v>
      </c>
      <c r="K59" s="89">
        <f>$C59*'Y1 Cash Flow Assumptions'!K59</f>
        <v>9968.4096000000009</v>
      </c>
      <c r="L59" s="89">
        <f>$C59*'Y1 Cash Flow Assumptions'!L59</f>
        <v>9968.4096000000009</v>
      </c>
      <c r="M59" s="89">
        <f>$C59*'Y1 Cash Flow Assumptions'!M59</f>
        <v>9968.4096000000009</v>
      </c>
      <c r="N59" s="89">
        <f>$C59*'Y1 Cash Flow Assumptions'!N59</f>
        <v>9968.4096000000009</v>
      </c>
      <c r="O59" s="89">
        <f>$C59*'Y1 Cash Flow Assumptions'!O59</f>
        <v>4984.2048000000004</v>
      </c>
      <c r="P59" s="89">
        <f>$C59*'Y1 Cash Flow Assumptions'!P59</f>
        <v>0</v>
      </c>
      <c r="S59" s="89">
        <f>'Budget Summary'!D55</f>
        <v>110888.66159999999</v>
      </c>
      <c r="T59" s="89">
        <f>$S59*'Y2_3 Cash Flow Assumptions'!D59</f>
        <v>0</v>
      </c>
      <c r="U59" s="89">
        <f>$S59*'Y2_3 Cash Flow Assumptions'!E59</f>
        <v>5544.4330799999998</v>
      </c>
      <c r="V59" s="89">
        <f>$S59*'Y2_3 Cash Flow Assumptions'!F59</f>
        <v>11088.86616</v>
      </c>
      <c r="W59" s="89">
        <f>$S59*'Y2_3 Cash Flow Assumptions'!G59</f>
        <v>11088.86616</v>
      </c>
      <c r="X59" s="89">
        <f>$S59*'Y2_3 Cash Flow Assumptions'!H59</f>
        <v>11088.86616</v>
      </c>
      <c r="Y59" s="89">
        <f>$S59*'Y2_3 Cash Flow Assumptions'!I59</f>
        <v>11088.86616</v>
      </c>
      <c r="Z59" s="89">
        <f>$S59*'Y2_3 Cash Flow Assumptions'!J59</f>
        <v>11088.86616</v>
      </c>
      <c r="AA59" s="89">
        <f>$S59*'Y2_3 Cash Flow Assumptions'!K59</f>
        <v>11088.86616</v>
      </c>
      <c r="AB59" s="89">
        <f>$S59*'Y2_3 Cash Flow Assumptions'!L59</f>
        <v>11088.86616</v>
      </c>
      <c r="AC59" s="89">
        <f>$S59*'Y2_3 Cash Flow Assumptions'!M59</f>
        <v>11088.86616</v>
      </c>
      <c r="AD59" s="89">
        <f>$S59*'Y2_3 Cash Flow Assumptions'!N59</f>
        <v>11088.86616</v>
      </c>
      <c r="AE59" s="89">
        <f>$S59*'Y2_3 Cash Flow Assumptions'!O59</f>
        <v>5544.4330799999998</v>
      </c>
      <c r="AF59" s="89">
        <f>$S59*'Y2_3 Cash Flow Assumptions'!P59</f>
        <v>0</v>
      </c>
      <c r="AI59" s="89">
        <f>'Budget Summary'!E55</f>
        <v>120549.17671999997</v>
      </c>
      <c r="AJ59" s="89">
        <f>$AI59*'Y2_3 Cash Flow Assumptions'!D59</f>
        <v>0</v>
      </c>
      <c r="AK59" s="89">
        <f>$AI59*'Y2_3 Cash Flow Assumptions'!E59</f>
        <v>6027.4588359999989</v>
      </c>
      <c r="AL59" s="89">
        <f>$AI59*'Y2_3 Cash Flow Assumptions'!F59</f>
        <v>12054.917671999998</v>
      </c>
      <c r="AM59" s="89">
        <f>$AI59*'Y2_3 Cash Flow Assumptions'!G59</f>
        <v>12054.917671999998</v>
      </c>
      <c r="AN59" s="89">
        <f>$AI59*'Y2_3 Cash Flow Assumptions'!H59</f>
        <v>12054.917671999998</v>
      </c>
      <c r="AO59" s="89">
        <f>$AI59*'Y2_3 Cash Flow Assumptions'!I59</f>
        <v>12054.917671999998</v>
      </c>
      <c r="AP59" s="89">
        <f>$AI59*'Y2_3 Cash Flow Assumptions'!J59</f>
        <v>12054.917671999998</v>
      </c>
      <c r="AQ59" s="89">
        <f>$AI59*'Y2_3 Cash Flow Assumptions'!K59</f>
        <v>12054.917671999998</v>
      </c>
      <c r="AR59" s="89">
        <f>$AI59*'Y2_3 Cash Flow Assumptions'!L59</f>
        <v>12054.917671999998</v>
      </c>
      <c r="AS59" s="89">
        <f>$AI59*'Y2_3 Cash Flow Assumptions'!M59</f>
        <v>12054.917671999998</v>
      </c>
      <c r="AT59" s="89">
        <f>$AI59*'Y2_3 Cash Flow Assumptions'!N59</f>
        <v>12054.917671999998</v>
      </c>
      <c r="AU59" s="89">
        <f>$AI59*'Y2_3 Cash Flow Assumptions'!O59</f>
        <v>6027.4588359999989</v>
      </c>
      <c r="AV59" s="89">
        <f>$AI59*'Y2_3 Cash Flow Assumptions'!P59</f>
        <v>0</v>
      </c>
    </row>
    <row r="60" spans="1:48" outlineLevel="1">
      <c r="A60" s="23"/>
      <c r="B60" s="24" t="s">
        <v>55</v>
      </c>
      <c r="C60" s="89">
        <f>'Budget Summary'!C56</f>
        <v>23313.216</v>
      </c>
      <c r="D60" s="89">
        <f>$C60*'Y1 Cash Flow Assumptions'!D60</f>
        <v>0</v>
      </c>
      <c r="E60" s="89">
        <f>$C60*'Y1 Cash Flow Assumptions'!E60</f>
        <v>1165.6608000000001</v>
      </c>
      <c r="F60" s="89">
        <f>$C60*'Y1 Cash Flow Assumptions'!F60</f>
        <v>2331.3216000000002</v>
      </c>
      <c r="G60" s="89">
        <f>$C60*'Y1 Cash Flow Assumptions'!G60</f>
        <v>2331.3216000000002</v>
      </c>
      <c r="H60" s="89">
        <f>$C60*'Y1 Cash Flow Assumptions'!H60</f>
        <v>2331.3216000000002</v>
      </c>
      <c r="I60" s="89">
        <f>$C60*'Y1 Cash Flow Assumptions'!I60</f>
        <v>2331.3216000000002</v>
      </c>
      <c r="J60" s="89">
        <f>$C60*'Y1 Cash Flow Assumptions'!J60</f>
        <v>2331.3216000000002</v>
      </c>
      <c r="K60" s="89">
        <f>$C60*'Y1 Cash Flow Assumptions'!K60</f>
        <v>2331.3216000000002</v>
      </c>
      <c r="L60" s="89">
        <f>$C60*'Y1 Cash Flow Assumptions'!L60</f>
        <v>2331.3216000000002</v>
      </c>
      <c r="M60" s="89">
        <f>$C60*'Y1 Cash Flow Assumptions'!M60</f>
        <v>2331.3216000000002</v>
      </c>
      <c r="N60" s="89">
        <f>$C60*'Y1 Cash Flow Assumptions'!N60</f>
        <v>2331.3216000000002</v>
      </c>
      <c r="O60" s="89">
        <f>$C60*'Y1 Cash Flow Assumptions'!O60</f>
        <v>1165.6608000000001</v>
      </c>
      <c r="P60" s="89">
        <f>$C60*'Y1 Cash Flow Assumptions'!P60</f>
        <v>0</v>
      </c>
      <c r="S60" s="89">
        <f>'Budget Summary'!D56</f>
        <v>25933.638599999998</v>
      </c>
      <c r="T60" s="89">
        <f>$S60*'Y2_3 Cash Flow Assumptions'!D60</f>
        <v>0</v>
      </c>
      <c r="U60" s="89">
        <f>$S60*'Y2_3 Cash Flow Assumptions'!E60</f>
        <v>1296.68193</v>
      </c>
      <c r="V60" s="89">
        <f>$S60*'Y2_3 Cash Flow Assumptions'!F60</f>
        <v>2593.3638599999999</v>
      </c>
      <c r="W60" s="89">
        <f>$S60*'Y2_3 Cash Flow Assumptions'!G60</f>
        <v>2593.3638599999999</v>
      </c>
      <c r="X60" s="89">
        <f>$S60*'Y2_3 Cash Flow Assumptions'!H60</f>
        <v>2593.3638599999999</v>
      </c>
      <c r="Y60" s="89">
        <f>$S60*'Y2_3 Cash Flow Assumptions'!I60</f>
        <v>2593.3638599999999</v>
      </c>
      <c r="Z60" s="89">
        <f>$S60*'Y2_3 Cash Flow Assumptions'!J60</f>
        <v>2593.3638599999999</v>
      </c>
      <c r="AA60" s="89">
        <f>$S60*'Y2_3 Cash Flow Assumptions'!K60</f>
        <v>2593.3638599999999</v>
      </c>
      <c r="AB60" s="89">
        <f>$S60*'Y2_3 Cash Flow Assumptions'!L60</f>
        <v>2593.3638599999999</v>
      </c>
      <c r="AC60" s="89">
        <f>$S60*'Y2_3 Cash Flow Assumptions'!M60</f>
        <v>2593.3638599999999</v>
      </c>
      <c r="AD60" s="89">
        <f>$S60*'Y2_3 Cash Flow Assumptions'!N60</f>
        <v>2593.3638599999999</v>
      </c>
      <c r="AE60" s="89">
        <f>$S60*'Y2_3 Cash Flow Assumptions'!O60</f>
        <v>1296.68193</v>
      </c>
      <c r="AF60" s="89">
        <f>$S60*'Y2_3 Cash Flow Assumptions'!P60</f>
        <v>0</v>
      </c>
      <c r="AI60" s="89">
        <f>'Budget Summary'!E56</f>
        <v>28192.952619999996</v>
      </c>
      <c r="AJ60" s="89">
        <f>$AI60*'Y2_3 Cash Flow Assumptions'!D60</f>
        <v>0</v>
      </c>
      <c r="AK60" s="89">
        <f>$AI60*'Y2_3 Cash Flow Assumptions'!E60</f>
        <v>1409.6476309999998</v>
      </c>
      <c r="AL60" s="89">
        <f>$AI60*'Y2_3 Cash Flow Assumptions'!F60</f>
        <v>2819.2952619999996</v>
      </c>
      <c r="AM60" s="89">
        <f>$AI60*'Y2_3 Cash Flow Assumptions'!G60</f>
        <v>2819.2952619999996</v>
      </c>
      <c r="AN60" s="89">
        <f>$AI60*'Y2_3 Cash Flow Assumptions'!H60</f>
        <v>2819.2952619999996</v>
      </c>
      <c r="AO60" s="89">
        <f>$AI60*'Y2_3 Cash Flow Assumptions'!I60</f>
        <v>2819.2952619999996</v>
      </c>
      <c r="AP60" s="89">
        <f>$AI60*'Y2_3 Cash Flow Assumptions'!J60</f>
        <v>2819.2952619999996</v>
      </c>
      <c r="AQ60" s="89">
        <f>$AI60*'Y2_3 Cash Flow Assumptions'!K60</f>
        <v>2819.2952619999996</v>
      </c>
      <c r="AR60" s="89">
        <f>$AI60*'Y2_3 Cash Flow Assumptions'!L60</f>
        <v>2819.2952619999996</v>
      </c>
      <c r="AS60" s="89">
        <f>$AI60*'Y2_3 Cash Flow Assumptions'!M60</f>
        <v>2819.2952619999996</v>
      </c>
      <c r="AT60" s="89">
        <f>$AI60*'Y2_3 Cash Flow Assumptions'!N60</f>
        <v>2819.2952619999996</v>
      </c>
      <c r="AU60" s="89">
        <f>$AI60*'Y2_3 Cash Flow Assumptions'!O60</f>
        <v>1409.6476309999998</v>
      </c>
      <c r="AV60" s="89">
        <f>$AI60*'Y2_3 Cash Flow Assumptions'!P60</f>
        <v>0</v>
      </c>
    </row>
    <row r="61" spans="1:48" outlineLevel="1">
      <c r="A61" s="23"/>
      <c r="B61" s="24" t="s">
        <v>56</v>
      </c>
      <c r="C61" s="89">
        <f>'Budget Summary'!C57</f>
        <v>186000</v>
      </c>
      <c r="D61" s="89">
        <f>$C61*'Y1 Cash Flow Assumptions'!D61</f>
        <v>15500</v>
      </c>
      <c r="E61" s="89">
        <f>$C61*'Y1 Cash Flow Assumptions'!E61</f>
        <v>15500</v>
      </c>
      <c r="F61" s="89">
        <f>$C61*'Y1 Cash Flow Assumptions'!F61</f>
        <v>15500</v>
      </c>
      <c r="G61" s="89">
        <f>$C61*'Y1 Cash Flow Assumptions'!G61</f>
        <v>15500</v>
      </c>
      <c r="H61" s="89">
        <f>$C61*'Y1 Cash Flow Assumptions'!H61</f>
        <v>15500</v>
      </c>
      <c r="I61" s="89">
        <f>$C61*'Y1 Cash Flow Assumptions'!I61</f>
        <v>15500</v>
      </c>
      <c r="J61" s="89">
        <f>$C61*'Y1 Cash Flow Assumptions'!J61</f>
        <v>15500</v>
      </c>
      <c r="K61" s="89">
        <f>$C61*'Y1 Cash Flow Assumptions'!K61</f>
        <v>15500</v>
      </c>
      <c r="L61" s="89">
        <f>$C61*'Y1 Cash Flow Assumptions'!L61</f>
        <v>15500</v>
      </c>
      <c r="M61" s="89">
        <f>$C61*'Y1 Cash Flow Assumptions'!M61</f>
        <v>15500</v>
      </c>
      <c r="N61" s="89">
        <f>$C61*'Y1 Cash Flow Assumptions'!N61</f>
        <v>15500</v>
      </c>
      <c r="O61" s="89">
        <f>$C61*'Y1 Cash Flow Assumptions'!O61</f>
        <v>15500</v>
      </c>
      <c r="P61" s="89">
        <f>$C61*'Y1 Cash Flow Assumptions'!P61</f>
        <v>0</v>
      </c>
      <c r="S61" s="89">
        <f>'Budget Summary'!D57</f>
        <v>224400.00000000003</v>
      </c>
      <c r="T61" s="89">
        <f>$S61*'Y2_3 Cash Flow Assumptions'!D61</f>
        <v>18700</v>
      </c>
      <c r="U61" s="89">
        <f>$S61*'Y2_3 Cash Flow Assumptions'!E61</f>
        <v>18700</v>
      </c>
      <c r="V61" s="89">
        <f>$S61*'Y2_3 Cash Flow Assumptions'!F61</f>
        <v>18700</v>
      </c>
      <c r="W61" s="89">
        <f>$S61*'Y2_3 Cash Flow Assumptions'!G61</f>
        <v>18700</v>
      </c>
      <c r="X61" s="89">
        <f>$S61*'Y2_3 Cash Flow Assumptions'!H61</f>
        <v>18700</v>
      </c>
      <c r="Y61" s="89">
        <f>$S61*'Y2_3 Cash Flow Assumptions'!I61</f>
        <v>18700</v>
      </c>
      <c r="Z61" s="89">
        <f>$S61*'Y2_3 Cash Flow Assumptions'!J61</f>
        <v>18700</v>
      </c>
      <c r="AA61" s="89">
        <f>$S61*'Y2_3 Cash Flow Assumptions'!K61</f>
        <v>18700</v>
      </c>
      <c r="AB61" s="89">
        <f>$S61*'Y2_3 Cash Flow Assumptions'!L61</f>
        <v>18700</v>
      </c>
      <c r="AC61" s="89">
        <f>$S61*'Y2_3 Cash Flow Assumptions'!M61</f>
        <v>18700</v>
      </c>
      <c r="AD61" s="89">
        <f>$S61*'Y2_3 Cash Flow Assumptions'!N61</f>
        <v>18700</v>
      </c>
      <c r="AE61" s="89">
        <f>$S61*'Y2_3 Cash Flow Assumptions'!O61</f>
        <v>18700</v>
      </c>
      <c r="AF61" s="89">
        <f>$S61*'Y2_3 Cash Flow Assumptions'!P61</f>
        <v>0</v>
      </c>
      <c r="AI61" s="89">
        <f>'Budget Summary'!E57</f>
        <v>261360.00000000003</v>
      </c>
      <c r="AJ61" s="89">
        <f>$AI61*'Y2_3 Cash Flow Assumptions'!D61</f>
        <v>21780</v>
      </c>
      <c r="AK61" s="89">
        <f>$AI61*'Y2_3 Cash Flow Assumptions'!E61</f>
        <v>21780</v>
      </c>
      <c r="AL61" s="89">
        <f>$AI61*'Y2_3 Cash Flow Assumptions'!F61</f>
        <v>21780</v>
      </c>
      <c r="AM61" s="89">
        <f>$AI61*'Y2_3 Cash Flow Assumptions'!G61</f>
        <v>21780</v>
      </c>
      <c r="AN61" s="89">
        <f>$AI61*'Y2_3 Cash Flow Assumptions'!H61</f>
        <v>21780</v>
      </c>
      <c r="AO61" s="89">
        <f>$AI61*'Y2_3 Cash Flow Assumptions'!I61</f>
        <v>21780</v>
      </c>
      <c r="AP61" s="89">
        <f>$AI61*'Y2_3 Cash Flow Assumptions'!J61</f>
        <v>21780</v>
      </c>
      <c r="AQ61" s="89">
        <f>$AI61*'Y2_3 Cash Flow Assumptions'!K61</f>
        <v>21780</v>
      </c>
      <c r="AR61" s="89">
        <f>$AI61*'Y2_3 Cash Flow Assumptions'!L61</f>
        <v>21780</v>
      </c>
      <c r="AS61" s="89">
        <f>$AI61*'Y2_3 Cash Flow Assumptions'!M61</f>
        <v>21780</v>
      </c>
      <c r="AT61" s="89">
        <f>$AI61*'Y2_3 Cash Flow Assumptions'!N61</f>
        <v>21780</v>
      </c>
      <c r="AU61" s="89">
        <f>$AI61*'Y2_3 Cash Flow Assumptions'!O61</f>
        <v>21780</v>
      </c>
      <c r="AV61" s="89">
        <f>$AI61*'Y2_3 Cash Flow Assumptions'!P61</f>
        <v>0</v>
      </c>
    </row>
    <row r="62" spans="1:48" outlineLevel="1">
      <c r="A62" s="23"/>
      <c r="B62" s="24" t="s">
        <v>57</v>
      </c>
      <c r="C62" s="89">
        <f>'Budget Summary'!C58</f>
        <v>803.904</v>
      </c>
      <c r="D62" s="89">
        <f>$C62*'Y1 Cash Flow Assumptions'!D62</f>
        <v>0</v>
      </c>
      <c r="E62" s="89">
        <f>$C62*'Y1 Cash Flow Assumptions'!E62</f>
        <v>40.1952</v>
      </c>
      <c r="F62" s="89">
        <f>$C62*'Y1 Cash Flow Assumptions'!F62</f>
        <v>80.3904</v>
      </c>
      <c r="G62" s="89">
        <f>$C62*'Y1 Cash Flow Assumptions'!G62</f>
        <v>80.3904</v>
      </c>
      <c r="H62" s="89">
        <f>$C62*'Y1 Cash Flow Assumptions'!H62</f>
        <v>80.3904</v>
      </c>
      <c r="I62" s="89">
        <f>$C62*'Y1 Cash Flow Assumptions'!I62</f>
        <v>80.3904</v>
      </c>
      <c r="J62" s="89">
        <f>$C62*'Y1 Cash Flow Assumptions'!J62</f>
        <v>80.3904</v>
      </c>
      <c r="K62" s="89">
        <f>$C62*'Y1 Cash Flow Assumptions'!K62</f>
        <v>80.3904</v>
      </c>
      <c r="L62" s="89">
        <f>$C62*'Y1 Cash Flow Assumptions'!L62</f>
        <v>80.3904</v>
      </c>
      <c r="M62" s="89">
        <f>$C62*'Y1 Cash Flow Assumptions'!M62</f>
        <v>80.3904</v>
      </c>
      <c r="N62" s="89">
        <f>$C62*'Y1 Cash Flow Assumptions'!N62</f>
        <v>80.3904</v>
      </c>
      <c r="O62" s="89">
        <f>$C62*'Y1 Cash Flow Assumptions'!O62</f>
        <v>40.1952</v>
      </c>
      <c r="P62" s="89">
        <f>$C62*'Y1 Cash Flow Assumptions'!P62</f>
        <v>0</v>
      </c>
      <c r="S62" s="89">
        <f>'Budget Summary'!D58</f>
        <v>894.26339999999993</v>
      </c>
      <c r="T62" s="89">
        <f>$S62*'Y2_3 Cash Flow Assumptions'!D62</f>
        <v>0</v>
      </c>
      <c r="U62" s="89">
        <f>$S62*'Y2_3 Cash Flow Assumptions'!E62</f>
        <v>44.713169999999998</v>
      </c>
      <c r="V62" s="89">
        <f>$S62*'Y2_3 Cash Flow Assumptions'!F62</f>
        <v>89.426339999999996</v>
      </c>
      <c r="W62" s="89">
        <f>$S62*'Y2_3 Cash Flow Assumptions'!G62</f>
        <v>89.426339999999996</v>
      </c>
      <c r="X62" s="89">
        <f>$S62*'Y2_3 Cash Flow Assumptions'!H62</f>
        <v>89.426339999999996</v>
      </c>
      <c r="Y62" s="89">
        <f>$S62*'Y2_3 Cash Flow Assumptions'!I62</f>
        <v>89.426339999999996</v>
      </c>
      <c r="Z62" s="89">
        <f>$S62*'Y2_3 Cash Flow Assumptions'!J62</f>
        <v>89.426339999999996</v>
      </c>
      <c r="AA62" s="89">
        <f>$S62*'Y2_3 Cash Flow Assumptions'!K62</f>
        <v>89.426339999999996</v>
      </c>
      <c r="AB62" s="89">
        <f>$S62*'Y2_3 Cash Flow Assumptions'!L62</f>
        <v>89.426339999999996</v>
      </c>
      <c r="AC62" s="89">
        <f>$S62*'Y2_3 Cash Flow Assumptions'!M62</f>
        <v>89.426339999999996</v>
      </c>
      <c r="AD62" s="89">
        <f>$S62*'Y2_3 Cash Flow Assumptions'!N62</f>
        <v>89.426339999999996</v>
      </c>
      <c r="AE62" s="89">
        <f>$S62*'Y2_3 Cash Flow Assumptions'!O62</f>
        <v>44.713169999999998</v>
      </c>
      <c r="AF62" s="89">
        <f>$S62*'Y2_3 Cash Flow Assumptions'!P62</f>
        <v>0</v>
      </c>
      <c r="AI62" s="89">
        <f>'Budget Summary'!E58</f>
        <v>972.17077999999981</v>
      </c>
      <c r="AJ62" s="89">
        <f>$AI62*'Y2_3 Cash Flow Assumptions'!D62</f>
        <v>0</v>
      </c>
      <c r="AK62" s="89">
        <f>$AI62*'Y2_3 Cash Flow Assumptions'!E62</f>
        <v>48.608538999999993</v>
      </c>
      <c r="AL62" s="89">
        <f>$AI62*'Y2_3 Cash Flow Assumptions'!F62</f>
        <v>97.217077999999987</v>
      </c>
      <c r="AM62" s="89">
        <f>$AI62*'Y2_3 Cash Flow Assumptions'!G62</f>
        <v>97.217077999999987</v>
      </c>
      <c r="AN62" s="89">
        <f>$AI62*'Y2_3 Cash Flow Assumptions'!H62</f>
        <v>97.217077999999987</v>
      </c>
      <c r="AO62" s="89">
        <f>$AI62*'Y2_3 Cash Flow Assumptions'!I62</f>
        <v>97.217077999999987</v>
      </c>
      <c r="AP62" s="89">
        <f>$AI62*'Y2_3 Cash Flow Assumptions'!J62</f>
        <v>97.217077999999987</v>
      </c>
      <c r="AQ62" s="89">
        <f>$AI62*'Y2_3 Cash Flow Assumptions'!K62</f>
        <v>97.217077999999987</v>
      </c>
      <c r="AR62" s="89">
        <f>$AI62*'Y2_3 Cash Flow Assumptions'!L62</f>
        <v>97.217077999999987</v>
      </c>
      <c r="AS62" s="89">
        <f>$AI62*'Y2_3 Cash Flow Assumptions'!M62</f>
        <v>97.217077999999987</v>
      </c>
      <c r="AT62" s="89">
        <f>$AI62*'Y2_3 Cash Flow Assumptions'!N62</f>
        <v>97.217077999999987</v>
      </c>
      <c r="AU62" s="89">
        <f>$AI62*'Y2_3 Cash Flow Assumptions'!O62</f>
        <v>48.608538999999993</v>
      </c>
      <c r="AV62" s="89">
        <f>$AI62*'Y2_3 Cash Flow Assumptions'!P62</f>
        <v>0</v>
      </c>
    </row>
    <row r="63" spans="1:48" outlineLevel="1">
      <c r="A63" s="23"/>
      <c r="B63" s="24" t="s">
        <v>18</v>
      </c>
      <c r="C63" s="89">
        <f>'Budget Summary'!C59</f>
        <v>33763.968000000001</v>
      </c>
      <c r="D63" s="89">
        <f>$C63*'Y1 Cash Flow Assumptions'!D63</f>
        <v>10129.190399999999</v>
      </c>
      <c r="E63" s="89">
        <f>$C63*'Y1 Cash Flow Assumptions'!E63</f>
        <v>2148.6161454545454</v>
      </c>
      <c r="F63" s="89">
        <f>$C63*'Y1 Cash Flow Assumptions'!F63</f>
        <v>2148.6161454545454</v>
      </c>
      <c r="G63" s="89">
        <f>$C63*'Y1 Cash Flow Assumptions'!G63</f>
        <v>2148.6161454545454</v>
      </c>
      <c r="H63" s="89">
        <f>$C63*'Y1 Cash Flow Assumptions'!H63</f>
        <v>2148.6161454545454</v>
      </c>
      <c r="I63" s="89">
        <f>$C63*'Y1 Cash Flow Assumptions'!I63</f>
        <v>2148.6161454545454</v>
      </c>
      <c r="J63" s="89">
        <f>$C63*'Y1 Cash Flow Assumptions'!J63</f>
        <v>2148.6161454545454</v>
      </c>
      <c r="K63" s="89">
        <f>$C63*'Y1 Cash Flow Assumptions'!K63</f>
        <v>2148.6161454545454</v>
      </c>
      <c r="L63" s="89">
        <f>$C63*'Y1 Cash Flow Assumptions'!L63</f>
        <v>2148.6161454545454</v>
      </c>
      <c r="M63" s="89">
        <f>$C63*'Y1 Cash Flow Assumptions'!M63</f>
        <v>2148.6161454545454</v>
      </c>
      <c r="N63" s="89">
        <f>$C63*'Y1 Cash Flow Assumptions'!N63</f>
        <v>2148.6161454545454</v>
      </c>
      <c r="O63" s="89">
        <f>$C63*'Y1 Cash Flow Assumptions'!O63</f>
        <v>2148.6161454545454</v>
      </c>
      <c r="P63" s="89">
        <f>$C63*'Y1 Cash Flow Assumptions'!P63</f>
        <v>0</v>
      </c>
      <c r="S63" s="89">
        <f>'Budget Summary'!D59</f>
        <v>39347.589599999992</v>
      </c>
      <c r="T63" s="89">
        <f>$S63*'Y2_3 Cash Flow Assumptions'!D63</f>
        <v>11804.276879999998</v>
      </c>
      <c r="U63" s="89">
        <f>$S63*'Y2_3 Cash Flow Assumptions'!E63</f>
        <v>2503.937519999999</v>
      </c>
      <c r="V63" s="89">
        <f>$S63*'Y2_3 Cash Flow Assumptions'!F63</f>
        <v>2503.937519999999</v>
      </c>
      <c r="W63" s="89">
        <f>$S63*'Y2_3 Cash Flow Assumptions'!G63</f>
        <v>2503.937519999999</v>
      </c>
      <c r="X63" s="89">
        <f>$S63*'Y2_3 Cash Flow Assumptions'!H63</f>
        <v>2503.937519999999</v>
      </c>
      <c r="Y63" s="89">
        <f>$S63*'Y2_3 Cash Flow Assumptions'!I63</f>
        <v>2503.937519999999</v>
      </c>
      <c r="Z63" s="89">
        <f>$S63*'Y2_3 Cash Flow Assumptions'!J63</f>
        <v>2503.937519999999</v>
      </c>
      <c r="AA63" s="89">
        <f>$S63*'Y2_3 Cash Flow Assumptions'!K63</f>
        <v>2503.937519999999</v>
      </c>
      <c r="AB63" s="89">
        <f>$S63*'Y2_3 Cash Flow Assumptions'!L63</f>
        <v>2503.937519999999</v>
      </c>
      <c r="AC63" s="89">
        <f>$S63*'Y2_3 Cash Flow Assumptions'!M63</f>
        <v>2503.937519999999</v>
      </c>
      <c r="AD63" s="89">
        <f>$S63*'Y2_3 Cash Flow Assumptions'!N63</f>
        <v>2503.937519999999</v>
      </c>
      <c r="AE63" s="89">
        <f>$S63*'Y2_3 Cash Flow Assumptions'!O63</f>
        <v>2503.937519999999</v>
      </c>
      <c r="AF63" s="89">
        <f>$S63*'Y2_3 Cash Flow Assumptions'!P63</f>
        <v>0</v>
      </c>
      <c r="AI63" s="89">
        <f>'Budget Summary'!E59</f>
        <v>44719.855879999988</v>
      </c>
      <c r="AJ63" s="89">
        <f>$AI63*'Y2_3 Cash Flow Assumptions'!D63</f>
        <v>13415.956763999997</v>
      </c>
      <c r="AK63" s="89">
        <f>$AI63*'Y2_3 Cash Flow Assumptions'!E63</f>
        <v>2845.8090105454535</v>
      </c>
      <c r="AL63" s="89">
        <f>$AI63*'Y2_3 Cash Flow Assumptions'!F63</f>
        <v>2845.8090105454535</v>
      </c>
      <c r="AM63" s="89">
        <f>$AI63*'Y2_3 Cash Flow Assumptions'!G63</f>
        <v>2845.8090105454535</v>
      </c>
      <c r="AN63" s="89">
        <f>$AI63*'Y2_3 Cash Flow Assumptions'!H63</f>
        <v>2845.8090105454535</v>
      </c>
      <c r="AO63" s="89">
        <f>$AI63*'Y2_3 Cash Flow Assumptions'!I63</f>
        <v>2845.8090105454535</v>
      </c>
      <c r="AP63" s="89">
        <f>$AI63*'Y2_3 Cash Flow Assumptions'!J63</f>
        <v>2845.8090105454535</v>
      </c>
      <c r="AQ63" s="89">
        <f>$AI63*'Y2_3 Cash Flow Assumptions'!K63</f>
        <v>2845.8090105454535</v>
      </c>
      <c r="AR63" s="89">
        <f>$AI63*'Y2_3 Cash Flow Assumptions'!L63</f>
        <v>2845.8090105454535</v>
      </c>
      <c r="AS63" s="89">
        <f>$AI63*'Y2_3 Cash Flow Assumptions'!M63</f>
        <v>2845.8090105454535</v>
      </c>
      <c r="AT63" s="89">
        <f>$AI63*'Y2_3 Cash Flow Assumptions'!N63</f>
        <v>2845.8090105454535</v>
      </c>
      <c r="AU63" s="89">
        <f>$AI63*'Y2_3 Cash Flow Assumptions'!O63</f>
        <v>2845.8090105454535</v>
      </c>
      <c r="AV63" s="89">
        <f>$AI63*'Y2_3 Cash Flow Assumptions'!P63</f>
        <v>0</v>
      </c>
    </row>
    <row r="64" spans="1:48" outlineLevel="1">
      <c r="A64" s="23"/>
      <c r="B64" s="24" t="s">
        <v>19</v>
      </c>
      <c r="C64" s="89">
        <f>'Budget Summary'!C60</f>
        <v>80390.399999999994</v>
      </c>
      <c r="D64" s="89">
        <f>$C64*'Y1 Cash Flow Assumptions'!D64</f>
        <v>0</v>
      </c>
      <c r="E64" s="89">
        <f>$C64*'Y1 Cash Flow Assumptions'!E64</f>
        <v>4019.52</v>
      </c>
      <c r="F64" s="89">
        <f>$C64*'Y1 Cash Flow Assumptions'!F64</f>
        <v>8039.04</v>
      </c>
      <c r="G64" s="89">
        <f>$C64*'Y1 Cash Flow Assumptions'!G64</f>
        <v>8039.04</v>
      </c>
      <c r="H64" s="89">
        <f>$C64*'Y1 Cash Flow Assumptions'!H64</f>
        <v>8039.04</v>
      </c>
      <c r="I64" s="89">
        <f>$C64*'Y1 Cash Flow Assumptions'!I64</f>
        <v>8039.04</v>
      </c>
      <c r="J64" s="89">
        <f>$C64*'Y1 Cash Flow Assumptions'!J64</f>
        <v>8039.04</v>
      </c>
      <c r="K64" s="89">
        <f>$C64*'Y1 Cash Flow Assumptions'!K64</f>
        <v>8039.04</v>
      </c>
      <c r="L64" s="89">
        <f>$C64*'Y1 Cash Flow Assumptions'!L64</f>
        <v>8039.04</v>
      </c>
      <c r="M64" s="89">
        <f>$C64*'Y1 Cash Flow Assumptions'!M64</f>
        <v>8039.04</v>
      </c>
      <c r="N64" s="89">
        <f>$C64*'Y1 Cash Flow Assumptions'!N64</f>
        <v>8039.04</v>
      </c>
      <c r="O64" s="89">
        <f>$C64*'Y1 Cash Flow Assumptions'!O64</f>
        <v>4019.52</v>
      </c>
      <c r="P64" s="89">
        <f>$C64*'Y1 Cash Flow Assumptions'!P64</f>
        <v>0</v>
      </c>
      <c r="S64" s="89">
        <f>'Budget Summary'!D60</f>
        <v>89426.339999999982</v>
      </c>
      <c r="T64" s="89">
        <f>$S64*'Y2_3 Cash Flow Assumptions'!D64</f>
        <v>0</v>
      </c>
      <c r="U64" s="89">
        <f>$S64*'Y2_3 Cash Flow Assumptions'!E64</f>
        <v>4471.3169999999991</v>
      </c>
      <c r="V64" s="89">
        <f>$S64*'Y2_3 Cash Flow Assumptions'!F64</f>
        <v>8942.6339999999982</v>
      </c>
      <c r="W64" s="89">
        <f>$S64*'Y2_3 Cash Flow Assumptions'!G64</f>
        <v>8942.6339999999982</v>
      </c>
      <c r="X64" s="89">
        <f>$S64*'Y2_3 Cash Flow Assumptions'!H64</f>
        <v>8942.6339999999982</v>
      </c>
      <c r="Y64" s="89">
        <f>$S64*'Y2_3 Cash Flow Assumptions'!I64</f>
        <v>8942.6339999999982</v>
      </c>
      <c r="Z64" s="89">
        <f>$S64*'Y2_3 Cash Flow Assumptions'!J64</f>
        <v>8942.6339999999982</v>
      </c>
      <c r="AA64" s="89">
        <f>$S64*'Y2_3 Cash Flow Assumptions'!K64</f>
        <v>8942.6339999999982</v>
      </c>
      <c r="AB64" s="89">
        <f>$S64*'Y2_3 Cash Flow Assumptions'!L64</f>
        <v>8942.6339999999982</v>
      </c>
      <c r="AC64" s="89">
        <f>$S64*'Y2_3 Cash Flow Assumptions'!M64</f>
        <v>8942.6339999999982</v>
      </c>
      <c r="AD64" s="89">
        <f>$S64*'Y2_3 Cash Flow Assumptions'!N64</f>
        <v>8942.6339999999982</v>
      </c>
      <c r="AE64" s="89">
        <f>$S64*'Y2_3 Cash Flow Assumptions'!O64</f>
        <v>4471.3169999999991</v>
      </c>
      <c r="AF64" s="89">
        <f>$S64*'Y2_3 Cash Flow Assumptions'!P64</f>
        <v>0</v>
      </c>
      <c r="AI64" s="89">
        <f>'Budget Summary'!E60</f>
        <v>97217.077999999994</v>
      </c>
      <c r="AJ64" s="89">
        <f>$AI64*'Y2_3 Cash Flow Assumptions'!D64</f>
        <v>0</v>
      </c>
      <c r="AK64" s="89">
        <f>$AI64*'Y2_3 Cash Flow Assumptions'!E64</f>
        <v>4860.8539000000001</v>
      </c>
      <c r="AL64" s="89">
        <f>$AI64*'Y2_3 Cash Flow Assumptions'!F64</f>
        <v>9721.7078000000001</v>
      </c>
      <c r="AM64" s="89">
        <f>$AI64*'Y2_3 Cash Flow Assumptions'!G64</f>
        <v>9721.7078000000001</v>
      </c>
      <c r="AN64" s="89">
        <f>$AI64*'Y2_3 Cash Flow Assumptions'!H64</f>
        <v>9721.7078000000001</v>
      </c>
      <c r="AO64" s="89">
        <f>$AI64*'Y2_3 Cash Flow Assumptions'!I64</f>
        <v>9721.7078000000001</v>
      </c>
      <c r="AP64" s="89">
        <f>$AI64*'Y2_3 Cash Flow Assumptions'!J64</f>
        <v>9721.7078000000001</v>
      </c>
      <c r="AQ64" s="89">
        <f>$AI64*'Y2_3 Cash Flow Assumptions'!K64</f>
        <v>9721.7078000000001</v>
      </c>
      <c r="AR64" s="89">
        <f>$AI64*'Y2_3 Cash Flow Assumptions'!L64</f>
        <v>9721.7078000000001</v>
      </c>
      <c r="AS64" s="89">
        <f>$AI64*'Y2_3 Cash Flow Assumptions'!M64</f>
        <v>9721.7078000000001</v>
      </c>
      <c r="AT64" s="89">
        <f>$AI64*'Y2_3 Cash Flow Assumptions'!N64</f>
        <v>9721.7078000000001</v>
      </c>
      <c r="AU64" s="89">
        <f>$AI64*'Y2_3 Cash Flow Assumptions'!O64</f>
        <v>4860.8539000000001</v>
      </c>
      <c r="AV64" s="89">
        <f>$AI64*'Y2_3 Cash Flow Assumptions'!P64</f>
        <v>0</v>
      </c>
    </row>
    <row r="65" spans="1:48" outlineLevel="1">
      <c r="A65" s="23"/>
      <c r="B65" s="24" t="s">
        <v>184</v>
      </c>
      <c r="C65" s="89">
        <f>'Budget Summary'!C61</f>
        <v>0</v>
      </c>
      <c r="D65" s="89">
        <f>$C65*'Y1 Cash Flow Assumptions'!D65</f>
        <v>0</v>
      </c>
      <c r="E65" s="89">
        <f>$C65*'Y1 Cash Flow Assumptions'!E65</f>
        <v>0</v>
      </c>
      <c r="F65" s="89">
        <f>$C65*'Y1 Cash Flow Assumptions'!F65</f>
        <v>0</v>
      </c>
      <c r="G65" s="89">
        <f>$C65*'Y1 Cash Flow Assumptions'!G65</f>
        <v>0</v>
      </c>
      <c r="H65" s="89">
        <f>$C65*'Y1 Cash Flow Assumptions'!H65</f>
        <v>0</v>
      </c>
      <c r="I65" s="89">
        <f>$C65*'Y1 Cash Flow Assumptions'!I65</f>
        <v>0</v>
      </c>
      <c r="J65" s="89">
        <f>$C65*'Y1 Cash Flow Assumptions'!J65</f>
        <v>0</v>
      </c>
      <c r="K65" s="89">
        <f>$C65*'Y1 Cash Flow Assumptions'!K65</f>
        <v>0</v>
      </c>
      <c r="L65" s="89">
        <f>$C65*'Y1 Cash Flow Assumptions'!L65</f>
        <v>0</v>
      </c>
      <c r="M65" s="89">
        <f>$C65*'Y1 Cash Flow Assumptions'!M65</f>
        <v>0</v>
      </c>
      <c r="N65" s="89">
        <f>$C65*'Y1 Cash Flow Assumptions'!N65</f>
        <v>0</v>
      </c>
      <c r="O65" s="89">
        <f>$C65*'Y1 Cash Flow Assumptions'!O65</f>
        <v>0</v>
      </c>
      <c r="P65" s="89">
        <f>$C65*'Y1 Cash Flow Assumptions'!P65</f>
        <v>0</v>
      </c>
      <c r="S65" s="89">
        <f>'Budget Summary'!D61</f>
        <v>0</v>
      </c>
      <c r="T65" s="89">
        <f>$S65*'Y2_3 Cash Flow Assumptions'!D65</f>
        <v>0</v>
      </c>
      <c r="U65" s="89">
        <f>$S65*'Y2_3 Cash Flow Assumptions'!E65</f>
        <v>0</v>
      </c>
      <c r="V65" s="89">
        <f>$S65*'Y2_3 Cash Flow Assumptions'!F65</f>
        <v>0</v>
      </c>
      <c r="W65" s="89">
        <f>$S65*'Y2_3 Cash Flow Assumptions'!G65</f>
        <v>0</v>
      </c>
      <c r="X65" s="89">
        <f>$S65*'Y2_3 Cash Flow Assumptions'!H65</f>
        <v>0</v>
      </c>
      <c r="Y65" s="89">
        <f>$S65*'Y2_3 Cash Flow Assumptions'!I65</f>
        <v>0</v>
      </c>
      <c r="Z65" s="89">
        <f>$S65*'Y2_3 Cash Flow Assumptions'!J65</f>
        <v>0</v>
      </c>
      <c r="AA65" s="89">
        <f>$S65*'Y2_3 Cash Flow Assumptions'!K65</f>
        <v>0</v>
      </c>
      <c r="AB65" s="89">
        <f>$S65*'Y2_3 Cash Flow Assumptions'!L65</f>
        <v>0</v>
      </c>
      <c r="AC65" s="89">
        <f>$S65*'Y2_3 Cash Flow Assumptions'!M65</f>
        <v>0</v>
      </c>
      <c r="AD65" s="89">
        <f>$S65*'Y2_3 Cash Flow Assumptions'!N65</f>
        <v>0</v>
      </c>
      <c r="AE65" s="89">
        <f>$S65*'Y2_3 Cash Flow Assumptions'!O65</f>
        <v>0</v>
      </c>
      <c r="AF65" s="89">
        <f>$S65*'Y2_3 Cash Flow Assumptions'!P65</f>
        <v>0</v>
      </c>
      <c r="AI65" s="89">
        <f>'Budget Summary'!E61</f>
        <v>0</v>
      </c>
      <c r="AJ65" s="89">
        <f>$AI65*'Y2_3 Cash Flow Assumptions'!D65</f>
        <v>0</v>
      </c>
      <c r="AK65" s="89">
        <f>$AI65*'Y2_3 Cash Flow Assumptions'!E65</f>
        <v>0</v>
      </c>
      <c r="AL65" s="89">
        <f>$AI65*'Y2_3 Cash Flow Assumptions'!F65</f>
        <v>0</v>
      </c>
      <c r="AM65" s="89">
        <f>$AI65*'Y2_3 Cash Flow Assumptions'!G65</f>
        <v>0</v>
      </c>
      <c r="AN65" s="89">
        <f>$AI65*'Y2_3 Cash Flow Assumptions'!H65</f>
        <v>0</v>
      </c>
      <c r="AO65" s="89">
        <f>$AI65*'Y2_3 Cash Flow Assumptions'!I65</f>
        <v>0</v>
      </c>
      <c r="AP65" s="89">
        <f>$AI65*'Y2_3 Cash Flow Assumptions'!J65</f>
        <v>0</v>
      </c>
      <c r="AQ65" s="89">
        <f>$AI65*'Y2_3 Cash Flow Assumptions'!K65</f>
        <v>0</v>
      </c>
      <c r="AR65" s="89">
        <f>$AI65*'Y2_3 Cash Flow Assumptions'!L65</f>
        <v>0</v>
      </c>
      <c r="AS65" s="89">
        <f>$AI65*'Y2_3 Cash Flow Assumptions'!M65</f>
        <v>0</v>
      </c>
      <c r="AT65" s="89">
        <f>$AI65*'Y2_3 Cash Flow Assumptions'!N65</f>
        <v>0</v>
      </c>
      <c r="AU65" s="89">
        <f>$AI65*'Y2_3 Cash Flow Assumptions'!O65</f>
        <v>0</v>
      </c>
      <c r="AV65" s="89">
        <f>$AI65*'Y2_3 Cash Flow Assumptions'!P65</f>
        <v>0</v>
      </c>
    </row>
    <row r="66" spans="1:48">
      <c r="A66" s="23" t="s">
        <v>51</v>
      </c>
      <c r="C66" s="88">
        <f>SUM(C57:C65)</f>
        <v>423955.58400000003</v>
      </c>
      <c r="D66" s="88">
        <f t="shared" ref="D66:P66" si="24">SUM(D57:D65)</f>
        <v>25629.190399999999</v>
      </c>
      <c r="E66" s="88">
        <f t="shared" si="24"/>
        <v>27858.196945454543</v>
      </c>
      <c r="F66" s="88">
        <f t="shared" si="24"/>
        <v>38067.77774545455</v>
      </c>
      <c r="G66" s="88">
        <f t="shared" si="24"/>
        <v>38067.77774545455</v>
      </c>
      <c r="H66" s="88">
        <f t="shared" si="24"/>
        <v>38067.77774545455</v>
      </c>
      <c r="I66" s="88">
        <f t="shared" si="24"/>
        <v>38067.77774545455</v>
      </c>
      <c r="J66" s="88">
        <f t="shared" si="24"/>
        <v>38067.77774545455</v>
      </c>
      <c r="K66" s="88">
        <f t="shared" si="24"/>
        <v>38067.77774545455</v>
      </c>
      <c r="L66" s="88">
        <f t="shared" si="24"/>
        <v>38067.77774545455</v>
      </c>
      <c r="M66" s="88">
        <f t="shared" si="24"/>
        <v>38067.77774545455</v>
      </c>
      <c r="N66" s="88">
        <f t="shared" si="24"/>
        <v>38067.77774545455</v>
      </c>
      <c r="O66" s="88">
        <f t="shared" si="24"/>
        <v>27858.196945454543</v>
      </c>
      <c r="P66" s="88">
        <f t="shared" si="24"/>
        <v>0</v>
      </c>
      <c r="S66" s="88">
        <f>SUM(S57:S65)</f>
        <v>490890.49320000003</v>
      </c>
      <c r="T66" s="88">
        <f t="shared" ref="T66:AF66" si="25">SUM(T57:T65)</f>
        <v>30504.276879999998</v>
      </c>
      <c r="U66" s="88">
        <f t="shared" si="25"/>
        <v>32561.082699999999</v>
      </c>
      <c r="V66" s="88">
        <f t="shared" si="25"/>
        <v>43918.227879999999</v>
      </c>
      <c r="W66" s="88">
        <f t="shared" si="25"/>
        <v>43918.227879999999</v>
      </c>
      <c r="X66" s="88">
        <f t="shared" si="25"/>
        <v>43918.227879999999</v>
      </c>
      <c r="Y66" s="88">
        <f t="shared" si="25"/>
        <v>43918.227879999999</v>
      </c>
      <c r="Z66" s="88">
        <f t="shared" si="25"/>
        <v>43918.227879999999</v>
      </c>
      <c r="AA66" s="88">
        <f t="shared" si="25"/>
        <v>43918.227879999999</v>
      </c>
      <c r="AB66" s="88">
        <f t="shared" si="25"/>
        <v>43918.227879999999</v>
      </c>
      <c r="AC66" s="88">
        <f t="shared" si="25"/>
        <v>43918.227879999999</v>
      </c>
      <c r="AD66" s="88">
        <f t="shared" si="25"/>
        <v>43918.227879999999</v>
      </c>
      <c r="AE66" s="88">
        <f t="shared" si="25"/>
        <v>32561.082699999999</v>
      </c>
      <c r="AF66" s="88">
        <f t="shared" si="25"/>
        <v>0</v>
      </c>
      <c r="AI66" s="88">
        <f>SUM(AI57:AI65)</f>
        <v>553011.23399999994</v>
      </c>
      <c r="AJ66" s="88">
        <f t="shared" ref="AJ66:AV66" si="26">SUM(AJ57:AJ65)</f>
        <v>35195.956763999995</v>
      </c>
      <c r="AK66" s="88">
        <f t="shared" si="26"/>
        <v>36972.377916545454</v>
      </c>
      <c r="AL66" s="88">
        <f t="shared" si="26"/>
        <v>49318.946822545448</v>
      </c>
      <c r="AM66" s="88">
        <f t="shared" si="26"/>
        <v>49318.946822545448</v>
      </c>
      <c r="AN66" s="88">
        <f t="shared" si="26"/>
        <v>49318.946822545448</v>
      </c>
      <c r="AO66" s="88">
        <f t="shared" si="26"/>
        <v>49318.946822545448</v>
      </c>
      <c r="AP66" s="88">
        <f t="shared" si="26"/>
        <v>49318.946822545448</v>
      </c>
      <c r="AQ66" s="88">
        <f t="shared" si="26"/>
        <v>49318.946822545448</v>
      </c>
      <c r="AR66" s="88">
        <f t="shared" si="26"/>
        <v>49318.946822545448</v>
      </c>
      <c r="AS66" s="88">
        <f t="shared" si="26"/>
        <v>49318.946822545448</v>
      </c>
      <c r="AT66" s="88">
        <f t="shared" si="26"/>
        <v>49318.946822545448</v>
      </c>
      <c r="AU66" s="88">
        <f t="shared" si="26"/>
        <v>36972.377916545454</v>
      </c>
      <c r="AV66" s="88">
        <f t="shared" si="26"/>
        <v>0</v>
      </c>
    </row>
    <row r="67" spans="1:48" outlineLevel="1">
      <c r="A67" s="23" t="s">
        <v>52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</row>
    <row r="68" spans="1:48" outlineLevel="1">
      <c r="A68" s="23"/>
      <c r="B68" s="24" t="s">
        <v>63</v>
      </c>
      <c r="C68" s="89">
        <f>'Budget Summary'!C64</f>
        <v>50000</v>
      </c>
      <c r="D68" s="90">
        <f>$C68*'Y1 Cash Flow Assumptions'!D68</f>
        <v>12500</v>
      </c>
      <c r="E68" s="90">
        <f>$C68*'Y1 Cash Flow Assumptions'!E68</f>
        <v>12500</v>
      </c>
      <c r="F68" s="90">
        <f>$C68*'Y1 Cash Flow Assumptions'!F68</f>
        <v>12500</v>
      </c>
      <c r="G68" s="90">
        <f>$C68*'Y1 Cash Flow Assumptions'!G68</f>
        <v>1388.8888888888889</v>
      </c>
      <c r="H68" s="90">
        <f>$C68*'Y1 Cash Flow Assumptions'!H68</f>
        <v>1388.8888888888889</v>
      </c>
      <c r="I68" s="90">
        <f>$C68*'Y1 Cash Flow Assumptions'!I68</f>
        <v>1388.8888888888889</v>
      </c>
      <c r="J68" s="90">
        <f>$C68*'Y1 Cash Flow Assumptions'!J68</f>
        <v>1388.8888888888889</v>
      </c>
      <c r="K68" s="90">
        <f>$C68*'Y1 Cash Flow Assumptions'!K68</f>
        <v>1388.8888888888889</v>
      </c>
      <c r="L68" s="90">
        <f>$C68*'Y1 Cash Flow Assumptions'!L68</f>
        <v>1388.8888888888889</v>
      </c>
      <c r="M68" s="90">
        <f>$C68*'Y1 Cash Flow Assumptions'!M68</f>
        <v>1388.8888888888889</v>
      </c>
      <c r="N68" s="90">
        <f>$C68*'Y1 Cash Flow Assumptions'!N68</f>
        <v>1388.8888888888889</v>
      </c>
      <c r="O68" s="90">
        <f>$C68*'Y1 Cash Flow Assumptions'!O68</f>
        <v>1388.8888888888889</v>
      </c>
      <c r="P68" s="90">
        <f>$C68*'Y1 Cash Flow Assumptions'!P68</f>
        <v>0</v>
      </c>
      <c r="S68" s="89">
        <f>'Budget Summary'!D64</f>
        <v>50000</v>
      </c>
      <c r="T68" s="90">
        <f>$S68*'Y2_3 Cash Flow Assumptions'!D68</f>
        <v>12500</v>
      </c>
      <c r="U68" s="90">
        <f>$S68*'Y2_3 Cash Flow Assumptions'!E68</f>
        <v>12500</v>
      </c>
      <c r="V68" s="90">
        <f>$S68*'Y2_3 Cash Flow Assumptions'!F68</f>
        <v>12500</v>
      </c>
      <c r="W68" s="90">
        <f>$S68*'Y2_3 Cash Flow Assumptions'!G68</f>
        <v>1388.8888888888889</v>
      </c>
      <c r="X68" s="90">
        <f>$S68*'Y2_3 Cash Flow Assumptions'!H68</f>
        <v>1388.8888888888889</v>
      </c>
      <c r="Y68" s="90">
        <f>$S68*'Y2_3 Cash Flow Assumptions'!I68</f>
        <v>1388.8888888888889</v>
      </c>
      <c r="Z68" s="90">
        <f>$S68*'Y2_3 Cash Flow Assumptions'!J68</f>
        <v>1388.8888888888889</v>
      </c>
      <c r="AA68" s="90">
        <f>$S68*'Y2_3 Cash Flow Assumptions'!K68</f>
        <v>1388.8888888888889</v>
      </c>
      <c r="AB68" s="90">
        <f>$S68*'Y2_3 Cash Flow Assumptions'!L68</f>
        <v>1388.8888888888889</v>
      </c>
      <c r="AC68" s="90">
        <f>$S68*'Y2_3 Cash Flow Assumptions'!M68</f>
        <v>1388.8888888888889</v>
      </c>
      <c r="AD68" s="90">
        <f>$S68*'Y2_3 Cash Flow Assumptions'!N68</f>
        <v>1388.8888888888889</v>
      </c>
      <c r="AE68" s="90">
        <f>$S68*'Y2_3 Cash Flow Assumptions'!O68</f>
        <v>1388.8888888888889</v>
      </c>
      <c r="AF68" s="89">
        <f>$S68*'Y2_3 Cash Flow Assumptions'!P68</f>
        <v>0</v>
      </c>
      <c r="AI68" s="89">
        <f>'Budget Summary'!E64</f>
        <v>50000</v>
      </c>
      <c r="AJ68" s="89">
        <f>$AI68*'Y2_3 Cash Flow Assumptions'!D68</f>
        <v>12500</v>
      </c>
      <c r="AK68" s="89">
        <f>$AI68*'Y2_3 Cash Flow Assumptions'!E68</f>
        <v>12500</v>
      </c>
      <c r="AL68" s="89">
        <f>$AI68*'Y2_3 Cash Flow Assumptions'!F68</f>
        <v>12500</v>
      </c>
      <c r="AM68" s="89">
        <f>$AI68*'Y2_3 Cash Flow Assumptions'!G68</f>
        <v>1388.8888888888889</v>
      </c>
      <c r="AN68" s="89">
        <f>$AI68*'Y2_3 Cash Flow Assumptions'!H68</f>
        <v>1388.8888888888889</v>
      </c>
      <c r="AO68" s="89">
        <f>$AI68*'Y2_3 Cash Flow Assumptions'!I68</f>
        <v>1388.8888888888889</v>
      </c>
      <c r="AP68" s="89">
        <f>$AI68*'Y2_3 Cash Flow Assumptions'!J68</f>
        <v>1388.8888888888889</v>
      </c>
      <c r="AQ68" s="89">
        <f>$AI68*'Y2_3 Cash Flow Assumptions'!K68</f>
        <v>1388.8888888888889</v>
      </c>
      <c r="AR68" s="89">
        <f>$AI68*'Y2_3 Cash Flow Assumptions'!L68</f>
        <v>1388.8888888888889</v>
      </c>
      <c r="AS68" s="89">
        <f>$AI68*'Y2_3 Cash Flow Assumptions'!M68</f>
        <v>1388.8888888888889</v>
      </c>
      <c r="AT68" s="89">
        <f>$AI68*'Y2_3 Cash Flow Assumptions'!N68</f>
        <v>1388.8888888888889</v>
      </c>
      <c r="AU68" s="89">
        <f>$AI68*'Y2_3 Cash Flow Assumptions'!O68</f>
        <v>1388.8888888888889</v>
      </c>
      <c r="AV68" s="89">
        <f>$AI68*'Y2_3 Cash Flow Assumptions'!P68</f>
        <v>0</v>
      </c>
    </row>
    <row r="69" spans="1:48" outlineLevel="1">
      <c r="A69" s="23"/>
      <c r="B69" s="24" t="s">
        <v>64</v>
      </c>
      <c r="C69" s="89">
        <f>'Budget Summary'!C65</f>
        <v>20000</v>
      </c>
      <c r="D69" s="90">
        <f>$C69*'Y1 Cash Flow Assumptions'!D69</f>
        <v>5000</v>
      </c>
      <c r="E69" s="90">
        <f>$C69*'Y1 Cash Flow Assumptions'!E69</f>
        <v>5000</v>
      </c>
      <c r="F69" s="90">
        <f>$C69*'Y1 Cash Flow Assumptions'!F69</f>
        <v>5000</v>
      </c>
      <c r="G69" s="90">
        <f>$C69*'Y1 Cash Flow Assumptions'!G69</f>
        <v>555.55555555555554</v>
      </c>
      <c r="H69" s="90">
        <f>$C69*'Y1 Cash Flow Assumptions'!H69</f>
        <v>555.55555555555554</v>
      </c>
      <c r="I69" s="90">
        <f>$C69*'Y1 Cash Flow Assumptions'!I69</f>
        <v>555.55555555555554</v>
      </c>
      <c r="J69" s="90">
        <f>$C69*'Y1 Cash Flow Assumptions'!J69</f>
        <v>555.55555555555554</v>
      </c>
      <c r="K69" s="90">
        <f>$C69*'Y1 Cash Flow Assumptions'!K69</f>
        <v>555.55555555555554</v>
      </c>
      <c r="L69" s="90">
        <f>$C69*'Y1 Cash Flow Assumptions'!L69</f>
        <v>555.55555555555554</v>
      </c>
      <c r="M69" s="90">
        <f>$C69*'Y1 Cash Flow Assumptions'!M69</f>
        <v>555.55555555555554</v>
      </c>
      <c r="N69" s="90">
        <f>$C69*'Y1 Cash Flow Assumptions'!N69</f>
        <v>555.55555555555554</v>
      </c>
      <c r="O69" s="90">
        <f>$C69*'Y1 Cash Flow Assumptions'!O69</f>
        <v>555.55555555555554</v>
      </c>
      <c r="P69" s="90">
        <f>$C69*'Y1 Cash Flow Assumptions'!P69</f>
        <v>0</v>
      </c>
      <c r="S69" s="89">
        <f>'Budget Summary'!D65</f>
        <v>20000</v>
      </c>
      <c r="T69" s="90">
        <f>$S69*'Y2_3 Cash Flow Assumptions'!D69</f>
        <v>5000</v>
      </c>
      <c r="U69" s="90">
        <f>$S69*'Y2_3 Cash Flow Assumptions'!E69</f>
        <v>5000</v>
      </c>
      <c r="V69" s="90">
        <f>$S69*'Y2_3 Cash Flow Assumptions'!F69</f>
        <v>5000</v>
      </c>
      <c r="W69" s="90">
        <f>$S69*'Y2_3 Cash Flow Assumptions'!G69</f>
        <v>555.55555555555554</v>
      </c>
      <c r="X69" s="90">
        <f>$S69*'Y2_3 Cash Flow Assumptions'!H69</f>
        <v>555.55555555555554</v>
      </c>
      <c r="Y69" s="90">
        <f>$S69*'Y2_3 Cash Flow Assumptions'!I69</f>
        <v>555.55555555555554</v>
      </c>
      <c r="Z69" s="90">
        <f>$S69*'Y2_3 Cash Flow Assumptions'!J69</f>
        <v>555.55555555555554</v>
      </c>
      <c r="AA69" s="90">
        <f>$S69*'Y2_3 Cash Flow Assumptions'!K69</f>
        <v>555.55555555555554</v>
      </c>
      <c r="AB69" s="90">
        <f>$S69*'Y2_3 Cash Flow Assumptions'!L69</f>
        <v>555.55555555555554</v>
      </c>
      <c r="AC69" s="90">
        <f>$S69*'Y2_3 Cash Flow Assumptions'!M69</f>
        <v>555.55555555555554</v>
      </c>
      <c r="AD69" s="90">
        <f>$S69*'Y2_3 Cash Flow Assumptions'!N69</f>
        <v>555.55555555555554</v>
      </c>
      <c r="AE69" s="90">
        <f>$S69*'Y2_3 Cash Flow Assumptions'!O69</f>
        <v>555.55555555555554</v>
      </c>
      <c r="AF69" s="89">
        <f>$S69*'Y2_3 Cash Flow Assumptions'!P69</f>
        <v>0</v>
      </c>
      <c r="AI69" s="89">
        <f>'Budget Summary'!E65</f>
        <v>20000</v>
      </c>
      <c r="AJ69" s="89">
        <f>$AI69*'Y2_3 Cash Flow Assumptions'!D69</f>
        <v>5000</v>
      </c>
      <c r="AK69" s="89">
        <f>$AI69*'Y2_3 Cash Flow Assumptions'!E69</f>
        <v>5000</v>
      </c>
      <c r="AL69" s="89">
        <f>$AI69*'Y2_3 Cash Flow Assumptions'!F69</f>
        <v>5000</v>
      </c>
      <c r="AM69" s="89">
        <f>$AI69*'Y2_3 Cash Flow Assumptions'!G69</f>
        <v>555.55555555555554</v>
      </c>
      <c r="AN69" s="89">
        <f>$AI69*'Y2_3 Cash Flow Assumptions'!H69</f>
        <v>555.55555555555554</v>
      </c>
      <c r="AO69" s="89">
        <f>$AI69*'Y2_3 Cash Flow Assumptions'!I69</f>
        <v>555.55555555555554</v>
      </c>
      <c r="AP69" s="89">
        <f>$AI69*'Y2_3 Cash Flow Assumptions'!J69</f>
        <v>555.55555555555554</v>
      </c>
      <c r="AQ69" s="89">
        <f>$AI69*'Y2_3 Cash Flow Assumptions'!K69</f>
        <v>555.55555555555554</v>
      </c>
      <c r="AR69" s="89">
        <f>$AI69*'Y2_3 Cash Flow Assumptions'!L69</f>
        <v>555.55555555555554</v>
      </c>
      <c r="AS69" s="89">
        <f>$AI69*'Y2_3 Cash Flow Assumptions'!M69</f>
        <v>555.55555555555554</v>
      </c>
      <c r="AT69" s="89">
        <f>$AI69*'Y2_3 Cash Flow Assumptions'!N69</f>
        <v>555.55555555555554</v>
      </c>
      <c r="AU69" s="89">
        <f>$AI69*'Y2_3 Cash Flow Assumptions'!O69</f>
        <v>555.55555555555554</v>
      </c>
      <c r="AV69" s="89">
        <f>$AI69*'Y2_3 Cash Flow Assumptions'!P69</f>
        <v>0</v>
      </c>
    </row>
    <row r="70" spans="1:48" outlineLevel="1">
      <c r="A70" s="23"/>
      <c r="B70" s="24" t="s">
        <v>20</v>
      </c>
      <c r="C70" s="89">
        <f>'Budget Summary'!C66</f>
        <v>80000</v>
      </c>
      <c r="D70" s="90">
        <f>$C70*'Y1 Cash Flow Assumptions'!D70</f>
        <v>20000</v>
      </c>
      <c r="E70" s="90">
        <f>$C70*'Y1 Cash Flow Assumptions'!E70</f>
        <v>20000</v>
      </c>
      <c r="F70" s="90">
        <f>$C70*'Y1 Cash Flow Assumptions'!F70</f>
        <v>20000</v>
      </c>
      <c r="G70" s="90">
        <f>$C70*'Y1 Cash Flow Assumptions'!G70</f>
        <v>2222.2222222222222</v>
      </c>
      <c r="H70" s="90">
        <f>$C70*'Y1 Cash Flow Assumptions'!H70</f>
        <v>2222.2222222222222</v>
      </c>
      <c r="I70" s="90">
        <f>$C70*'Y1 Cash Flow Assumptions'!I70</f>
        <v>2222.2222222222222</v>
      </c>
      <c r="J70" s="90">
        <f>$C70*'Y1 Cash Flow Assumptions'!J70</f>
        <v>2222.2222222222222</v>
      </c>
      <c r="K70" s="90">
        <f>$C70*'Y1 Cash Flow Assumptions'!K70</f>
        <v>2222.2222222222222</v>
      </c>
      <c r="L70" s="90">
        <f>$C70*'Y1 Cash Flow Assumptions'!L70</f>
        <v>2222.2222222222222</v>
      </c>
      <c r="M70" s="90">
        <f>$C70*'Y1 Cash Flow Assumptions'!M70</f>
        <v>2222.2222222222222</v>
      </c>
      <c r="N70" s="90">
        <f>$C70*'Y1 Cash Flow Assumptions'!N70</f>
        <v>2222.2222222222222</v>
      </c>
      <c r="O70" s="90">
        <f>$C70*'Y1 Cash Flow Assumptions'!O70</f>
        <v>2222.2222222222222</v>
      </c>
      <c r="P70" s="90">
        <f>$C70*'Y1 Cash Flow Assumptions'!P70</f>
        <v>0</v>
      </c>
      <c r="S70" s="89">
        <f>'Budget Summary'!D66</f>
        <v>80000</v>
      </c>
      <c r="T70" s="90">
        <f>$S70*'Y2_3 Cash Flow Assumptions'!D70</f>
        <v>20000</v>
      </c>
      <c r="U70" s="90">
        <f>$S70*'Y2_3 Cash Flow Assumptions'!E70</f>
        <v>20000</v>
      </c>
      <c r="V70" s="90">
        <f>$S70*'Y2_3 Cash Flow Assumptions'!F70</f>
        <v>20000</v>
      </c>
      <c r="W70" s="90">
        <f>$S70*'Y2_3 Cash Flow Assumptions'!G70</f>
        <v>2222.2222222222222</v>
      </c>
      <c r="X70" s="90">
        <f>$S70*'Y2_3 Cash Flow Assumptions'!H70</f>
        <v>2222.2222222222222</v>
      </c>
      <c r="Y70" s="90">
        <f>$S70*'Y2_3 Cash Flow Assumptions'!I70</f>
        <v>2222.2222222222222</v>
      </c>
      <c r="Z70" s="90">
        <f>$S70*'Y2_3 Cash Flow Assumptions'!J70</f>
        <v>2222.2222222222222</v>
      </c>
      <c r="AA70" s="90">
        <f>$S70*'Y2_3 Cash Flow Assumptions'!K70</f>
        <v>2222.2222222222222</v>
      </c>
      <c r="AB70" s="90">
        <f>$S70*'Y2_3 Cash Flow Assumptions'!L70</f>
        <v>2222.2222222222222</v>
      </c>
      <c r="AC70" s="90">
        <f>$S70*'Y2_3 Cash Flow Assumptions'!M70</f>
        <v>2222.2222222222222</v>
      </c>
      <c r="AD70" s="90">
        <f>$S70*'Y2_3 Cash Flow Assumptions'!N70</f>
        <v>2222.2222222222222</v>
      </c>
      <c r="AE70" s="90">
        <f>$S70*'Y2_3 Cash Flow Assumptions'!O70</f>
        <v>2222.2222222222222</v>
      </c>
      <c r="AF70" s="89">
        <f>$S70*'Y2_3 Cash Flow Assumptions'!P70</f>
        <v>0</v>
      </c>
      <c r="AI70" s="89">
        <f>'Budget Summary'!E66</f>
        <v>80000</v>
      </c>
      <c r="AJ70" s="89">
        <f>$AI70*'Y2_3 Cash Flow Assumptions'!D70</f>
        <v>20000</v>
      </c>
      <c r="AK70" s="89">
        <f>$AI70*'Y2_3 Cash Flow Assumptions'!E70</f>
        <v>20000</v>
      </c>
      <c r="AL70" s="89">
        <f>$AI70*'Y2_3 Cash Flow Assumptions'!F70</f>
        <v>20000</v>
      </c>
      <c r="AM70" s="89">
        <f>$AI70*'Y2_3 Cash Flow Assumptions'!G70</f>
        <v>2222.2222222222222</v>
      </c>
      <c r="AN70" s="89">
        <f>$AI70*'Y2_3 Cash Flow Assumptions'!H70</f>
        <v>2222.2222222222222</v>
      </c>
      <c r="AO70" s="89">
        <f>$AI70*'Y2_3 Cash Flow Assumptions'!I70</f>
        <v>2222.2222222222222</v>
      </c>
      <c r="AP70" s="89">
        <f>$AI70*'Y2_3 Cash Flow Assumptions'!J70</f>
        <v>2222.2222222222222</v>
      </c>
      <c r="AQ70" s="89">
        <f>$AI70*'Y2_3 Cash Flow Assumptions'!K70</f>
        <v>2222.2222222222222</v>
      </c>
      <c r="AR70" s="89">
        <f>$AI70*'Y2_3 Cash Flow Assumptions'!L70</f>
        <v>2222.2222222222222</v>
      </c>
      <c r="AS70" s="89">
        <f>$AI70*'Y2_3 Cash Flow Assumptions'!M70</f>
        <v>2222.2222222222222</v>
      </c>
      <c r="AT70" s="89">
        <f>$AI70*'Y2_3 Cash Flow Assumptions'!N70</f>
        <v>2222.2222222222222</v>
      </c>
      <c r="AU70" s="89">
        <f>$AI70*'Y2_3 Cash Flow Assumptions'!O70</f>
        <v>2222.2222222222222</v>
      </c>
      <c r="AV70" s="89">
        <f>$AI70*'Y2_3 Cash Flow Assumptions'!P70</f>
        <v>0</v>
      </c>
    </row>
    <row r="71" spans="1:48" outlineLevel="1">
      <c r="A71" s="23"/>
      <c r="B71" s="24" t="s">
        <v>21</v>
      </c>
      <c r="C71" s="89">
        <f>'Budget Summary'!C67</f>
        <v>5000</v>
      </c>
      <c r="D71" s="90">
        <f>$C71*'Y1 Cash Flow Assumptions'!D71</f>
        <v>1250</v>
      </c>
      <c r="E71" s="90">
        <f>$C71*'Y1 Cash Flow Assumptions'!E71</f>
        <v>1250</v>
      </c>
      <c r="F71" s="90">
        <f>$C71*'Y1 Cash Flow Assumptions'!F71</f>
        <v>1250</v>
      </c>
      <c r="G71" s="90">
        <f>$C71*'Y1 Cash Flow Assumptions'!G71</f>
        <v>138.88888888888889</v>
      </c>
      <c r="H71" s="90">
        <f>$C71*'Y1 Cash Flow Assumptions'!H71</f>
        <v>138.88888888888889</v>
      </c>
      <c r="I71" s="90">
        <f>$C71*'Y1 Cash Flow Assumptions'!I71</f>
        <v>138.88888888888889</v>
      </c>
      <c r="J71" s="90">
        <f>$C71*'Y1 Cash Flow Assumptions'!J71</f>
        <v>138.88888888888889</v>
      </c>
      <c r="K71" s="90">
        <f>$C71*'Y1 Cash Flow Assumptions'!K71</f>
        <v>138.88888888888889</v>
      </c>
      <c r="L71" s="90">
        <f>$C71*'Y1 Cash Flow Assumptions'!L71</f>
        <v>138.88888888888889</v>
      </c>
      <c r="M71" s="90">
        <f>$C71*'Y1 Cash Flow Assumptions'!M71</f>
        <v>138.88888888888889</v>
      </c>
      <c r="N71" s="90">
        <f>$C71*'Y1 Cash Flow Assumptions'!N71</f>
        <v>138.88888888888889</v>
      </c>
      <c r="O71" s="90">
        <f>$C71*'Y1 Cash Flow Assumptions'!O71</f>
        <v>138.88888888888889</v>
      </c>
      <c r="P71" s="90">
        <f>$C71*'Y1 Cash Flow Assumptions'!P71</f>
        <v>0</v>
      </c>
      <c r="S71" s="89">
        <f>'Budget Summary'!D67</f>
        <v>5000</v>
      </c>
      <c r="T71" s="90">
        <f>$S71*'Y2_3 Cash Flow Assumptions'!D71</f>
        <v>1250</v>
      </c>
      <c r="U71" s="90">
        <f>$S71*'Y2_3 Cash Flow Assumptions'!E71</f>
        <v>1250</v>
      </c>
      <c r="V71" s="90">
        <f>$S71*'Y2_3 Cash Flow Assumptions'!F71</f>
        <v>1250</v>
      </c>
      <c r="W71" s="90">
        <f>$S71*'Y2_3 Cash Flow Assumptions'!G71</f>
        <v>138.88888888888889</v>
      </c>
      <c r="X71" s="90">
        <f>$S71*'Y2_3 Cash Flow Assumptions'!H71</f>
        <v>138.88888888888889</v>
      </c>
      <c r="Y71" s="90">
        <f>$S71*'Y2_3 Cash Flow Assumptions'!I71</f>
        <v>138.88888888888889</v>
      </c>
      <c r="Z71" s="90">
        <f>$S71*'Y2_3 Cash Flow Assumptions'!J71</f>
        <v>138.88888888888889</v>
      </c>
      <c r="AA71" s="90">
        <f>$S71*'Y2_3 Cash Flow Assumptions'!K71</f>
        <v>138.88888888888889</v>
      </c>
      <c r="AB71" s="90">
        <f>$S71*'Y2_3 Cash Flow Assumptions'!L71</f>
        <v>138.88888888888889</v>
      </c>
      <c r="AC71" s="90">
        <f>$S71*'Y2_3 Cash Flow Assumptions'!M71</f>
        <v>138.88888888888889</v>
      </c>
      <c r="AD71" s="90">
        <f>$S71*'Y2_3 Cash Flow Assumptions'!N71</f>
        <v>138.88888888888889</v>
      </c>
      <c r="AE71" s="90">
        <f>$S71*'Y2_3 Cash Flow Assumptions'!O71</f>
        <v>138.88888888888889</v>
      </c>
      <c r="AF71" s="89">
        <f>$S71*'Y2_3 Cash Flow Assumptions'!P71</f>
        <v>0</v>
      </c>
      <c r="AI71" s="89">
        <f>'Budget Summary'!E67</f>
        <v>5000</v>
      </c>
      <c r="AJ71" s="89">
        <f>$AI71*'Y2_3 Cash Flow Assumptions'!D71</f>
        <v>1250</v>
      </c>
      <c r="AK71" s="89">
        <f>$AI71*'Y2_3 Cash Flow Assumptions'!E71</f>
        <v>1250</v>
      </c>
      <c r="AL71" s="89">
        <f>$AI71*'Y2_3 Cash Flow Assumptions'!F71</f>
        <v>1250</v>
      </c>
      <c r="AM71" s="89">
        <f>$AI71*'Y2_3 Cash Flow Assumptions'!G71</f>
        <v>138.88888888888889</v>
      </c>
      <c r="AN71" s="89">
        <f>$AI71*'Y2_3 Cash Flow Assumptions'!H71</f>
        <v>138.88888888888889</v>
      </c>
      <c r="AO71" s="89">
        <f>$AI71*'Y2_3 Cash Flow Assumptions'!I71</f>
        <v>138.88888888888889</v>
      </c>
      <c r="AP71" s="89">
        <f>$AI71*'Y2_3 Cash Flow Assumptions'!J71</f>
        <v>138.88888888888889</v>
      </c>
      <c r="AQ71" s="89">
        <f>$AI71*'Y2_3 Cash Flow Assumptions'!K71</f>
        <v>138.88888888888889</v>
      </c>
      <c r="AR71" s="89">
        <f>$AI71*'Y2_3 Cash Flow Assumptions'!L71</f>
        <v>138.88888888888889</v>
      </c>
      <c r="AS71" s="89">
        <f>$AI71*'Y2_3 Cash Flow Assumptions'!M71</f>
        <v>138.88888888888889</v>
      </c>
      <c r="AT71" s="89">
        <f>$AI71*'Y2_3 Cash Flow Assumptions'!N71</f>
        <v>138.88888888888889</v>
      </c>
      <c r="AU71" s="89">
        <f>$AI71*'Y2_3 Cash Flow Assumptions'!O71</f>
        <v>138.88888888888889</v>
      </c>
      <c r="AV71" s="89">
        <f>$AI71*'Y2_3 Cash Flow Assumptions'!P71</f>
        <v>0</v>
      </c>
    </row>
    <row r="72" spans="1:48" outlineLevel="1">
      <c r="A72" s="23"/>
      <c r="B72" s="24" t="s">
        <v>53</v>
      </c>
      <c r="C72" s="89">
        <f>'Budget Summary'!C68</f>
        <v>0</v>
      </c>
      <c r="D72" s="90">
        <f>$C72*'Y1 Cash Flow Assumptions'!D72</f>
        <v>0</v>
      </c>
      <c r="E72" s="90">
        <f>$C72*'Y1 Cash Flow Assumptions'!E72</f>
        <v>0</v>
      </c>
      <c r="F72" s="90">
        <f>$C72*'Y1 Cash Flow Assumptions'!F72</f>
        <v>0</v>
      </c>
      <c r="G72" s="90">
        <f>$C72*'Y1 Cash Flow Assumptions'!G72</f>
        <v>0</v>
      </c>
      <c r="H72" s="90">
        <f>$C72*'Y1 Cash Flow Assumptions'!H72</f>
        <v>0</v>
      </c>
      <c r="I72" s="90">
        <f>$C72*'Y1 Cash Flow Assumptions'!I72</f>
        <v>0</v>
      </c>
      <c r="J72" s="90">
        <f>$C72*'Y1 Cash Flow Assumptions'!J72</f>
        <v>0</v>
      </c>
      <c r="K72" s="90">
        <f>$C72*'Y1 Cash Flow Assumptions'!K72</f>
        <v>0</v>
      </c>
      <c r="L72" s="90">
        <f>$C72*'Y1 Cash Flow Assumptions'!L72</f>
        <v>0</v>
      </c>
      <c r="M72" s="90">
        <f>$C72*'Y1 Cash Flow Assumptions'!M72</f>
        <v>0</v>
      </c>
      <c r="N72" s="90">
        <f>$C72*'Y1 Cash Flow Assumptions'!N72</f>
        <v>0</v>
      </c>
      <c r="O72" s="90">
        <f>$C72*'Y1 Cash Flow Assumptions'!O72</f>
        <v>0</v>
      </c>
      <c r="P72" s="90">
        <f>$C72*'Y1 Cash Flow Assumptions'!P72</f>
        <v>0</v>
      </c>
      <c r="S72" s="89">
        <f>'Budget Summary'!D68</f>
        <v>0</v>
      </c>
      <c r="T72" s="90">
        <f>$S72*'Y2_3 Cash Flow Assumptions'!D72</f>
        <v>0</v>
      </c>
      <c r="U72" s="90">
        <f>$S72*'Y2_3 Cash Flow Assumptions'!E72</f>
        <v>0</v>
      </c>
      <c r="V72" s="90">
        <f>$S72*'Y2_3 Cash Flow Assumptions'!F72</f>
        <v>0</v>
      </c>
      <c r="W72" s="90">
        <f>$S72*'Y2_3 Cash Flow Assumptions'!G72</f>
        <v>0</v>
      </c>
      <c r="X72" s="90">
        <f>$S72*'Y2_3 Cash Flow Assumptions'!H72</f>
        <v>0</v>
      </c>
      <c r="Y72" s="90">
        <f>$S72*'Y2_3 Cash Flow Assumptions'!I72</f>
        <v>0</v>
      </c>
      <c r="Z72" s="90">
        <f>$S72*'Y2_3 Cash Flow Assumptions'!J72</f>
        <v>0</v>
      </c>
      <c r="AA72" s="90">
        <f>$S72*'Y2_3 Cash Flow Assumptions'!K72</f>
        <v>0</v>
      </c>
      <c r="AB72" s="90">
        <f>$S72*'Y2_3 Cash Flow Assumptions'!L72</f>
        <v>0</v>
      </c>
      <c r="AC72" s="90">
        <f>$S72*'Y2_3 Cash Flow Assumptions'!M72</f>
        <v>0</v>
      </c>
      <c r="AD72" s="90">
        <f>$S72*'Y2_3 Cash Flow Assumptions'!N72</f>
        <v>0</v>
      </c>
      <c r="AE72" s="90">
        <f>$S72*'Y2_3 Cash Flow Assumptions'!O72</f>
        <v>0</v>
      </c>
      <c r="AF72" s="89">
        <f>$S72*'Y2_3 Cash Flow Assumptions'!P72</f>
        <v>0</v>
      </c>
      <c r="AI72" s="89">
        <f>'Budget Summary'!E68</f>
        <v>0</v>
      </c>
      <c r="AJ72" s="89">
        <f>$AI72*'Y2_3 Cash Flow Assumptions'!D72</f>
        <v>0</v>
      </c>
      <c r="AK72" s="89">
        <f>$AI72*'Y2_3 Cash Flow Assumptions'!E72</f>
        <v>0</v>
      </c>
      <c r="AL72" s="89">
        <f>$AI72*'Y2_3 Cash Flow Assumptions'!F72</f>
        <v>0</v>
      </c>
      <c r="AM72" s="89">
        <f>$AI72*'Y2_3 Cash Flow Assumptions'!G72</f>
        <v>0</v>
      </c>
      <c r="AN72" s="89">
        <f>$AI72*'Y2_3 Cash Flow Assumptions'!H72</f>
        <v>0</v>
      </c>
      <c r="AO72" s="89">
        <f>$AI72*'Y2_3 Cash Flow Assumptions'!I72</f>
        <v>0</v>
      </c>
      <c r="AP72" s="89">
        <f>$AI72*'Y2_3 Cash Flow Assumptions'!J72</f>
        <v>0</v>
      </c>
      <c r="AQ72" s="89">
        <f>$AI72*'Y2_3 Cash Flow Assumptions'!K72</f>
        <v>0</v>
      </c>
      <c r="AR72" s="89">
        <f>$AI72*'Y2_3 Cash Flow Assumptions'!L72</f>
        <v>0</v>
      </c>
      <c r="AS72" s="89">
        <f>$AI72*'Y2_3 Cash Flow Assumptions'!M72</f>
        <v>0</v>
      </c>
      <c r="AT72" s="89">
        <f>$AI72*'Y2_3 Cash Flow Assumptions'!N72</f>
        <v>0</v>
      </c>
      <c r="AU72" s="89">
        <f>$AI72*'Y2_3 Cash Flow Assumptions'!O72</f>
        <v>0</v>
      </c>
      <c r="AV72" s="89">
        <f>$AI72*'Y2_3 Cash Flow Assumptions'!P72</f>
        <v>0</v>
      </c>
    </row>
    <row r="73" spans="1:48" outlineLevel="1">
      <c r="A73" s="23"/>
      <c r="B73" s="24" t="s">
        <v>54</v>
      </c>
      <c r="C73" s="89">
        <f>'Budget Summary'!C69</f>
        <v>0</v>
      </c>
      <c r="D73" s="90">
        <f>$C73*'Y1 Cash Flow Assumptions'!D73</f>
        <v>0</v>
      </c>
      <c r="E73" s="90">
        <f>$C73*'Y1 Cash Flow Assumptions'!E73</f>
        <v>0</v>
      </c>
      <c r="F73" s="90">
        <f>$C73*'Y1 Cash Flow Assumptions'!F73</f>
        <v>0</v>
      </c>
      <c r="G73" s="90">
        <f>$C73*'Y1 Cash Flow Assumptions'!G73</f>
        <v>0</v>
      </c>
      <c r="H73" s="90">
        <f>$C73*'Y1 Cash Flow Assumptions'!H73</f>
        <v>0</v>
      </c>
      <c r="I73" s="90">
        <f>$C73*'Y1 Cash Flow Assumptions'!I73</f>
        <v>0</v>
      </c>
      <c r="J73" s="90">
        <f>$C73*'Y1 Cash Flow Assumptions'!J73</f>
        <v>0</v>
      </c>
      <c r="K73" s="90">
        <f>$C73*'Y1 Cash Flow Assumptions'!K73</f>
        <v>0</v>
      </c>
      <c r="L73" s="90">
        <f>$C73*'Y1 Cash Flow Assumptions'!L73</f>
        <v>0</v>
      </c>
      <c r="M73" s="90">
        <f>$C73*'Y1 Cash Flow Assumptions'!M73</f>
        <v>0</v>
      </c>
      <c r="N73" s="90">
        <f>$C73*'Y1 Cash Flow Assumptions'!N73</f>
        <v>0</v>
      </c>
      <c r="O73" s="90">
        <f>$C73*'Y1 Cash Flow Assumptions'!O73</f>
        <v>0</v>
      </c>
      <c r="P73" s="90">
        <f>$C73*'Y1 Cash Flow Assumptions'!P73</f>
        <v>0</v>
      </c>
      <c r="S73" s="89">
        <f>'Budget Summary'!D69</f>
        <v>0</v>
      </c>
      <c r="T73" s="90">
        <f>$S73*'Y2_3 Cash Flow Assumptions'!D73</f>
        <v>0</v>
      </c>
      <c r="U73" s="90">
        <f>$S73*'Y2_3 Cash Flow Assumptions'!E73</f>
        <v>0</v>
      </c>
      <c r="V73" s="90">
        <f>$S73*'Y2_3 Cash Flow Assumptions'!F73</f>
        <v>0</v>
      </c>
      <c r="W73" s="90">
        <f>$S73*'Y2_3 Cash Flow Assumptions'!G73</f>
        <v>0</v>
      </c>
      <c r="X73" s="90">
        <f>$S73*'Y2_3 Cash Flow Assumptions'!H73</f>
        <v>0</v>
      </c>
      <c r="Y73" s="90">
        <f>$S73*'Y2_3 Cash Flow Assumptions'!I73</f>
        <v>0</v>
      </c>
      <c r="Z73" s="90">
        <f>$S73*'Y2_3 Cash Flow Assumptions'!J73</f>
        <v>0</v>
      </c>
      <c r="AA73" s="90">
        <f>$S73*'Y2_3 Cash Flow Assumptions'!K73</f>
        <v>0</v>
      </c>
      <c r="AB73" s="90">
        <f>$S73*'Y2_3 Cash Flow Assumptions'!L73</f>
        <v>0</v>
      </c>
      <c r="AC73" s="90">
        <f>$S73*'Y2_3 Cash Flow Assumptions'!M73</f>
        <v>0</v>
      </c>
      <c r="AD73" s="90">
        <f>$S73*'Y2_3 Cash Flow Assumptions'!N73</f>
        <v>0</v>
      </c>
      <c r="AE73" s="90">
        <f>$S73*'Y2_3 Cash Flow Assumptions'!O73</f>
        <v>0</v>
      </c>
      <c r="AF73" s="89">
        <f>$S73*'Y2_3 Cash Flow Assumptions'!P73</f>
        <v>0</v>
      </c>
      <c r="AI73" s="89">
        <f>'Budget Summary'!E69</f>
        <v>0</v>
      </c>
      <c r="AJ73" s="89">
        <f>$AI73*'Y2_3 Cash Flow Assumptions'!D73</f>
        <v>0</v>
      </c>
      <c r="AK73" s="89">
        <f>$AI73*'Y2_3 Cash Flow Assumptions'!E73</f>
        <v>0</v>
      </c>
      <c r="AL73" s="89">
        <f>$AI73*'Y2_3 Cash Flow Assumptions'!F73</f>
        <v>0</v>
      </c>
      <c r="AM73" s="89">
        <f>$AI73*'Y2_3 Cash Flow Assumptions'!G73</f>
        <v>0</v>
      </c>
      <c r="AN73" s="89">
        <f>$AI73*'Y2_3 Cash Flow Assumptions'!H73</f>
        <v>0</v>
      </c>
      <c r="AO73" s="89">
        <f>$AI73*'Y2_3 Cash Flow Assumptions'!I73</f>
        <v>0</v>
      </c>
      <c r="AP73" s="89">
        <f>$AI73*'Y2_3 Cash Flow Assumptions'!J73</f>
        <v>0</v>
      </c>
      <c r="AQ73" s="89">
        <f>$AI73*'Y2_3 Cash Flow Assumptions'!K73</f>
        <v>0</v>
      </c>
      <c r="AR73" s="89">
        <f>$AI73*'Y2_3 Cash Flow Assumptions'!L73</f>
        <v>0</v>
      </c>
      <c r="AS73" s="89">
        <f>$AI73*'Y2_3 Cash Flow Assumptions'!M73</f>
        <v>0</v>
      </c>
      <c r="AT73" s="89">
        <f>$AI73*'Y2_3 Cash Flow Assumptions'!N73</f>
        <v>0</v>
      </c>
      <c r="AU73" s="89">
        <f>$AI73*'Y2_3 Cash Flow Assumptions'!O73</f>
        <v>0</v>
      </c>
      <c r="AV73" s="89">
        <f>$AI73*'Y2_3 Cash Flow Assumptions'!P73</f>
        <v>0</v>
      </c>
    </row>
    <row r="74" spans="1:48">
      <c r="A74" s="23" t="s">
        <v>52</v>
      </c>
      <c r="C74" s="88">
        <f>SUM(C68:C73)</f>
        <v>155000</v>
      </c>
      <c r="D74" s="88">
        <f t="shared" ref="D74:P74" si="27">SUM(D68:D73)</f>
        <v>38750</v>
      </c>
      <c r="E74" s="88">
        <f t="shared" si="27"/>
        <v>38750</v>
      </c>
      <c r="F74" s="88">
        <f t="shared" si="27"/>
        <v>38750</v>
      </c>
      <c r="G74" s="88">
        <f t="shared" si="27"/>
        <v>4305.5555555555547</v>
      </c>
      <c r="H74" s="88">
        <f t="shared" si="27"/>
        <v>4305.5555555555547</v>
      </c>
      <c r="I74" s="88">
        <f t="shared" si="27"/>
        <v>4305.5555555555547</v>
      </c>
      <c r="J74" s="88">
        <f t="shared" si="27"/>
        <v>4305.5555555555547</v>
      </c>
      <c r="K74" s="88">
        <f t="shared" si="27"/>
        <v>4305.5555555555547</v>
      </c>
      <c r="L74" s="88">
        <f t="shared" si="27"/>
        <v>4305.5555555555547</v>
      </c>
      <c r="M74" s="88">
        <f t="shared" si="27"/>
        <v>4305.5555555555547</v>
      </c>
      <c r="N74" s="88">
        <f t="shared" si="27"/>
        <v>4305.5555555555547</v>
      </c>
      <c r="O74" s="88">
        <f t="shared" si="27"/>
        <v>4305.5555555555547</v>
      </c>
      <c r="P74" s="88">
        <f t="shared" si="27"/>
        <v>0</v>
      </c>
      <c r="S74" s="88">
        <f>SUM(S68:S73)</f>
        <v>155000</v>
      </c>
      <c r="T74" s="88">
        <f t="shared" ref="T74:AF74" si="28">SUM(T68:T73)</f>
        <v>38750</v>
      </c>
      <c r="U74" s="88">
        <f t="shared" si="28"/>
        <v>38750</v>
      </c>
      <c r="V74" s="88">
        <f t="shared" si="28"/>
        <v>38750</v>
      </c>
      <c r="W74" s="88">
        <f t="shared" si="28"/>
        <v>4305.5555555555547</v>
      </c>
      <c r="X74" s="88">
        <f t="shared" si="28"/>
        <v>4305.5555555555547</v>
      </c>
      <c r="Y74" s="88">
        <f t="shared" si="28"/>
        <v>4305.5555555555547</v>
      </c>
      <c r="Z74" s="88">
        <f t="shared" si="28"/>
        <v>4305.5555555555547</v>
      </c>
      <c r="AA74" s="88">
        <f t="shared" si="28"/>
        <v>4305.5555555555547</v>
      </c>
      <c r="AB74" s="88">
        <f t="shared" si="28"/>
        <v>4305.5555555555547</v>
      </c>
      <c r="AC74" s="88">
        <f t="shared" si="28"/>
        <v>4305.5555555555547</v>
      </c>
      <c r="AD74" s="88">
        <f t="shared" si="28"/>
        <v>4305.5555555555547</v>
      </c>
      <c r="AE74" s="88">
        <f t="shared" si="28"/>
        <v>4305.5555555555547</v>
      </c>
      <c r="AF74" s="89">
        <f t="shared" si="28"/>
        <v>0</v>
      </c>
      <c r="AI74" s="88">
        <f>SUM(AI68:AI73)</f>
        <v>155000</v>
      </c>
      <c r="AJ74" s="88">
        <f t="shared" ref="AJ74:AV74" si="29">SUM(AJ68:AJ73)</f>
        <v>38750</v>
      </c>
      <c r="AK74" s="88">
        <f t="shared" si="29"/>
        <v>38750</v>
      </c>
      <c r="AL74" s="88">
        <f t="shared" si="29"/>
        <v>38750</v>
      </c>
      <c r="AM74" s="88">
        <f t="shared" si="29"/>
        <v>4305.5555555555547</v>
      </c>
      <c r="AN74" s="88">
        <f t="shared" si="29"/>
        <v>4305.5555555555547</v>
      </c>
      <c r="AO74" s="88">
        <f t="shared" si="29"/>
        <v>4305.5555555555547</v>
      </c>
      <c r="AP74" s="88">
        <f t="shared" si="29"/>
        <v>4305.5555555555547</v>
      </c>
      <c r="AQ74" s="88">
        <f t="shared" si="29"/>
        <v>4305.5555555555547</v>
      </c>
      <c r="AR74" s="88">
        <f t="shared" si="29"/>
        <v>4305.5555555555547</v>
      </c>
      <c r="AS74" s="88">
        <f t="shared" si="29"/>
        <v>4305.5555555555547</v>
      </c>
      <c r="AT74" s="88">
        <f t="shared" si="29"/>
        <v>4305.5555555555547</v>
      </c>
      <c r="AU74" s="88">
        <f t="shared" si="29"/>
        <v>4305.5555555555547</v>
      </c>
      <c r="AV74" s="88">
        <f t="shared" si="29"/>
        <v>0</v>
      </c>
    </row>
    <row r="75" spans="1:48" outlineLevel="1">
      <c r="A75" s="23" t="s">
        <v>58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</row>
    <row r="76" spans="1:48" outlineLevel="1">
      <c r="A76" s="23"/>
      <c r="B76" s="24" t="s">
        <v>22</v>
      </c>
      <c r="C76" s="89">
        <f>'Budget Summary'!C72</f>
        <v>3000</v>
      </c>
      <c r="D76" s="90">
        <f>$C76*'Y1 Cash Flow Assumptions'!D76</f>
        <v>250</v>
      </c>
      <c r="E76" s="90">
        <f>$C76*'Y1 Cash Flow Assumptions'!E76</f>
        <v>250</v>
      </c>
      <c r="F76" s="90">
        <f>$C76*'Y1 Cash Flow Assumptions'!F76</f>
        <v>250</v>
      </c>
      <c r="G76" s="90">
        <f>$C76*'Y1 Cash Flow Assumptions'!G76</f>
        <v>250</v>
      </c>
      <c r="H76" s="90">
        <f>$C76*'Y1 Cash Flow Assumptions'!H76</f>
        <v>250</v>
      </c>
      <c r="I76" s="90">
        <f>$C76*'Y1 Cash Flow Assumptions'!I76</f>
        <v>250</v>
      </c>
      <c r="J76" s="90">
        <f>$C76*'Y1 Cash Flow Assumptions'!J76</f>
        <v>250</v>
      </c>
      <c r="K76" s="90">
        <f>$C76*'Y1 Cash Flow Assumptions'!K76</f>
        <v>250</v>
      </c>
      <c r="L76" s="90">
        <f>$C76*'Y1 Cash Flow Assumptions'!L76</f>
        <v>250</v>
      </c>
      <c r="M76" s="90">
        <f>$C76*'Y1 Cash Flow Assumptions'!M76</f>
        <v>250</v>
      </c>
      <c r="N76" s="90">
        <f>$C76*'Y1 Cash Flow Assumptions'!N76</f>
        <v>250</v>
      </c>
      <c r="O76" s="90">
        <f>$C76*'Y1 Cash Flow Assumptions'!O76</f>
        <v>250</v>
      </c>
      <c r="P76" s="90">
        <f>$C76*'Y1 Cash Flow Assumptions'!P76</f>
        <v>0</v>
      </c>
      <c r="S76" s="89">
        <f>'Budget Summary'!D72</f>
        <v>3000</v>
      </c>
      <c r="T76" s="90">
        <f>$S76*'Y2_3 Cash Flow Assumptions'!D76</f>
        <v>250</v>
      </c>
      <c r="U76" s="90">
        <f>$S76*'Y2_3 Cash Flow Assumptions'!E76</f>
        <v>250</v>
      </c>
      <c r="V76" s="90">
        <f>$S76*'Y2_3 Cash Flow Assumptions'!F76</f>
        <v>250</v>
      </c>
      <c r="W76" s="90">
        <f>$S76*'Y2_3 Cash Flow Assumptions'!G76</f>
        <v>250</v>
      </c>
      <c r="X76" s="90">
        <f>$S76*'Y2_3 Cash Flow Assumptions'!H76</f>
        <v>250</v>
      </c>
      <c r="Y76" s="90">
        <f>$S76*'Y2_3 Cash Flow Assumptions'!I76</f>
        <v>250</v>
      </c>
      <c r="Z76" s="90">
        <f>$S76*'Y2_3 Cash Flow Assumptions'!J76</f>
        <v>250</v>
      </c>
      <c r="AA76" s="90">
        <f>$S76*'Y2_3 Cash Flow Assumptions'!K76</f>
        <v>250</v>
      </c>
      <c r="AB76" s="90">
        <f>$S76*'Y2_3 Cash Flow Assumptions'!L76</f>
        <v>250</v>
      </c>
      <c r="AC76" s="90">
        <f>$S76*'Y2_3 Cash Flow Assumptions'!M76</f>
        <v>250</v>
      </c>
      <c r="AD76" s="90">
        <f>$S76*'Y2_3 Cash Flow Assumptions'!N76</f>
        <v>250</v>
      </c>
      <c r="AE76" s="90">
        <f>$S76*'Y2_3 Cash Flow Assumptions'!O76</f>
        <v>250</v>
      </c>
      <c r="AF76" s="89">
        <f>$S76*'Y2_3 Cash Flow Assumptions'!P76</f>
        <v>0</v>
      </c>
      <c r="AI76" s="89">
        <f>'Budget Summary'!E72</f>
        <v>3000</v>
      </c>
      <c r="AJ76" s="89">
        <f>$AI76*'Y2_3 Cash Flow Assumptions'!D76</f>
        <v>250</v>
      </c>
      <c r="AK76" s="89">
        <f>$AI76*'Y2_3 Cash Flow Assumptions'!E76</f>
        <v>250</v>
      </c>
      <c r="AL76" s="89">
        <f>$AI76*'Y2_3 Cash Flow Assumptions'!F76</f>
        <v>250</v>
      </c>
      <c r="AM76" s="89">
        <f>$AI76*'Y2_3 Cash Flow Assumptions'!G76</f>
        <v>250</v>
      </c>
      <c r="AN76" s="89">
        <f>$AI76*'Y2_3 Cash Flow Assumptions'!H76</f>
        <v>250</v>
      </c>
      <c r="AO76" s="89">
        <f>$AI76*'Y2_3 Cash Flow Assumptions'!I76</f>
        <v>250</v>
      </c>
      <c r="AP76" s="89">
        <f>$AI76*'Y2_3 Cash Flow Assumptions'!J76</f>
        <v>250</v>
      </c>
      <c r="AQ76" s="89">
        <f>$AI76*'Y2_3 Cash Flow Assumptions'!K76</f>
        <v>250</v>
      </c>
      <c r="AR76" s="89">
        <f>$AI76*'Y2_3 Cash Flow Assumptions'!L76</f>
        <v>250</v>
      </c>
      <c r="AS76" s="89">
        <f>$AI76*'Y2_3 Cash Flow Assumptions'!M76</f>
        <v>250</v>
      </c>
      <c r="AT76" s="89">
        <f>$AI76*'Y2_3 Cash Flow Assumptions'!N76</f>
        <v>250</v>
      </c>
      <c r="AU76" s="89">
        <f>$AI76*'Y2_3 Cash Flow Assumptions'!O76</f>
        <v>250</v>
      </c>
      <c r="AV76" s="89">
        <f>$AI76*'Y2_3 Cash Flow Assumptions'!P76</f>
        <v>0</v>
      </c>
    </row>
    <row r="77" spans="1:48" outlineLevel="1">
      <c r="A77" s="23"/>
      <c r="B77" s="24" t="s">
        <v>23</v>
      </c>
      <c r="C77" s="89">
        <f>'Budget Summary'!C73</f>
        <v>2500</v>
      </c>
      <c r="D77" s="90">
        <f>$C77*'Y1 Cash Flow Assumptions'!D77</f>
        <v>208.33333333333331</v>
      </c>
      <c r="E77" s="90">
        <f>$C77*'Y1 Cash Flow Assumptions'!E77</f>
        <v>208.33333333333331</v>
      </c>
      <c r="F77" s="90">
        <f>$C77*'Y1 Cash Flow Assumptions'!F77</f>
        <v>208.33333333333331</v>
      </c>
      <c r="G77" s="90">
        <f>$C77*'Y1 Cash Flow Assumptions'!G77</f>
        <v>208.33333333333331</v>
      </c>
      <c r="H77" s="90">
        <f>$C77*'Y1 Cash Flow Assumptions'!H77</f>
        <v>208.33333333333331</v>
      </c>
      <c r="I77" s="90">
        <f>$C77*'Y1 Cash Flow Assumptions'!I77</f>
        <v>208.33333333333331</v>
      </c>
      <c r="J77" s="90">
        <f>$C77*'Y1 Cash Flow Assumptions'!J77</f>
        <v>208.33333333333331</v>
      </c>
      <c r="K77" s="90">
        <f>$C77*'Y1 Cash Flow Assumptions'!K77</f>
        <v>208.33333333333331</v>
      </c>
      <c r="L77" s="90">
        <f>$C77*'Y1 Cash Flow Assumptions'!L77</f>
        <v>208.33333333333331</v>
      </c>
      <c r="M77" s="90">
        <f>$C77*'Y1 Cash Flow Assumptions'!M77</f>
        <v>208.33333333333331</v>
      </c>
      <c r="N77" s="90">
        <f>$C77*'Y1 Cash Flow Assumptions'!N77</f>
        <v>208.33333333333331</v>
      </c>
      <c r="O77" s="90">
        <f>$C77*'Y1 Cash Flow Assumptions'!O77</f>
        <v>208.33333333333331</v>
      </c>
      <c r="P77" s="90">
        <f>$C77*'Y1 Cash Flow Assumptions'!P77</f>
        <v>0</v>
      </c>
      <c r="S77" s="89">
        <f>'Budget Summary'!D73</f>
        <v>2500</v>
      </c>
      <c r="T77" s="90">
        <f>$S77*'Y2_3 Cash Flow Assumptions'!D77</f>
        <v>208.33333333333331</v>
      </c>
      <c r="U77" s="90">
        <f>$S77*'Y2_3 Cash Flow Assumptions'!E77</f>
        <v>208.33333333333331</v>
      </c>
      <c r="V77" s="90">
        <f>$S77*'Y2_3 Cash Flow Assumptions'!F77</f>
        <v>208.33333333333331</v>
      </c>
      <c r="W77" s="90">
        <f>$S77*'Y2_3 Cash Flow Assumptions'!G77</f>
        <v>208.33333333333331</v>
      </c>
      <c r="X77" s="90">
        <f>$S77*'Y2_3 Cash Flow Assumptions'!H77</f>
        <v>208.33333333333331</v>
      </c>
      <c r="Y77" s="90">
        <f>$S77*'Y2_3 Cash Flow Assumptions'!I77</f>
        <v>208.33333333333331</v>
      </c>
      <c r="Z77" s="90">
        <f>$S77*'Y2_3 Cash Flow Assumptions'!J77</f>
        <v>208.33333333333331</v>
      </c>
      <c r="AA77" s="90">
        <f>$S77*'Y2_3 Cash Flow Assumptions'!K77</f>
        <v>208.33333333333331</v>
      </c>
      <c r="AB77" s="90">
        <f>$S77*'Y2_3 Cash Flow Assumptions'!L77</f>
        <v>208.33333333333331</v>
      </c>
      <c r="AC77" s="90">
        <f>$S77*'Y2_3 Cash Flow Assumptions'!M77</f>
        <v>208.33333333333331</v>
      </c>
      <c r="AD77" s="90">
        <f>$S77*'Y2_3 Cash Flow Assumptions'!N77</f>
        <v>208.33333333333331</v>
      </c>
      <c r="AE77" s="90">
        <f>$S77*'Y2_3 Cash Flow Assumptions'!O77</f>
        <v>208.33333333333331</v>
      </c>
      <c r="AF77" s="89">
        <f>$S77*'Y2_3 Cash Flow Assumptions'!P77</f>
        <v>0</v>
      </c>
      <c r="AI77" s="89">
        <f>'Budget Summary'!E73</f>
        <v>2500</v>
      </c>
      <c r="AJ77" s="89">
        <f>$AI77*'Y2_3 Cash Flow Assumptions'!D77</f>
        <v>208.33333333333331</v>
      </c>
      <c r="AK77" s="89">
        <f>$AI77*'Y2_3 Cash Flow Assumptions'!E77</f>
        <v>208.33333333333331</v>
      </c>
      <c r="AL77" s="89">
        <f>$AI77*'Y2_3 Cash Flow Assumptions'!F77</f>
        <v>208.33333333333331</v>
      </c>
      <c r="AM77" s="89">
        <f>$AI77*'Y2_3 Cash Flow Assumptions'!G77</f>
        <v>208.33333333333331</v>
      </c>
      <c r="AN77" s="89">
        <f>$AI77*'Y2_3 Cash Flow Assumptions'!H77</f>
        <v>208.33333333333331</v>
      </c>
      <c r="AO77" s="89">
        <f>$AI77*'Y2_3 Cash Flow Assumptions'!I77</f>
        <v>208.33333333333331</v>
      </c>
      <c r="AP77" s="89">
        <f>$AI77*'Y2_3 Cash Flow Assumptions'!J77</f>
        <v>208.33333333333331</v>
      </c>
      <c r="AQ77" s="89">
        <f>$AI77*'Y2_3 Cash Flow Assumptions'!K77</f>
        <v>208.33333333333331</v>
      </c>
      <c r="AR77" s="89">
        <f>$AI77*'Y2_3 Cash Flow Assumptions'!L77</f>
        <v>208.33333333333331</v>
      </c>
      <c r="AS77" s="89">
        <f>$AI77*'Y2_3 Cash Flow Assumptions'!M77</f>
        <v>208.33333333333331</v>
      </c>
      <c r="AT77" s="89">
        <f>$AI77*'Y2_3 Cash Flow Assumptions'!N77</f>
        <v>208.33333333333331</v>
      </c>
      <c r="AU77" s="89">
        <f>$AI77*'Y2_3 Cash Flow Assumptions'!O77</f>
        <v>208.33333333333331</v>
      </c>
      <c r="AV77" s="89">
        <f>$AI77*'Y2_3 Cash Flow Assumptions'!P77</f>
        <v>0</v>
      </c>
    </row>
    <row r="78" spans="1:48" outlineLevel="1">
      <c r="A78" s="23"/>
      <c r="B78" s="24" t="s">
        <v>269</v>
      </c>
      <c r="C78" s="89">
        <f>'Budget Summary'!C74</f>
        <v>35000</v>
      </c>
      <c r="D78" s="90">
        <f>$C78*'Y1 Cash Flow Assumptions'!D78</f>
        <v>10500</v>
      </c>
      <c r="E78" s="90">
        <f>$C78*'Y1 Cash Flow Assumptions'!E78</f>
        <v>2227.272727272727</v>
      </c>
      <c r="F78" s="90">
        <f>$C78*'Y1 Cash Flow Assumptions'!F78</f>
        <v>2227.272727272727</v>
      </c>
      <c r="G78" s="90">
        <f>$C78*'Y1 Cash Flow Assumptions'!G78</f>
        <v>2227.272727272727</v>
      </c>
      <c r="H78" s="90">
        <f>$C78*'Y1 Cash Flow Assumptions'!H78</f>
        <v>2227.272727272727</v>
      </c>
      <c r="I78" s="90">
        <f>$C78*'Y1 Cash Flow Assumptions'!I78</f>
        <v>2227.272727272727</v>
      </c>
      <c r="J78" s="90">
        <f>$C78*'Y1 Cash Flow Assumptions'!J78</f>
        <v>2227.272727272727</v>
      </c>
      <c r="K78" s="90">
        <f>$C78*'Y1 Cash Flow Assumptions'!K78</f>
        <v>2227.272727272727</v>
      </c>
      <c r="L78" s="90">
        <f>$C78*'Y1 Cash Flow Assumptions'!L78</f>
        <v>2227.272727272727</v>
      </c>
      <c r="M78" s="90">
        <f>$C78*'Y1 Cash Flow Assumptions'!M78</f>
        <v>2227.272727272727</v>
      </c>
      <c r="N78" s="90">
        <f>$C78*'Y1 Cash Flow Assumptions'!N78</f>
        <v>2227.272727272727</v>
      </c>
      <c r="O78" s="90">
        <f>$C78*'Y1 Cash Flow Assumptions'!O78</f>
        <v>2227.272727272727</v>
      </c>
      <c r="P78" s="90">
        <f>$C78*'Y1 Cash Flow Assumptions'!P78</f>
        <v>0</v>
      </c>
      <c r="S78" s="89">
        <f>'Budget Summary'!D74</f>
        <v>35000</v>
      </c>
      <c r="T78" s="90">
        <f>$S78*'Y2_3 Cash Flow Assumptions'!D78</f>
        <v>10500</v>
      </c>
      <c r="U78" s="90">
        <f>$S78*'Y2_3 Cash Flow Assumptions'!E78</f>
        <v>2227.272727272727</v>
      </c>
      <c r="V78" s="90">
        <f>$S78*'Y2_3 Cash Flow Assumptions'!F78</f>
        <v>2227.272727272727</v>
      </c>
      <c r="W78" s="90">
        <f>$S78*'Y2_3 Cash Flow Assumptions'!G78</f>
        <v>2227.272727272727</v>
      </c>
      <c r="X78" s="90">
        <f>$S78*'Y2_3 Cash Flow Assumptions'!H78</f>
        <v>2227.272727272727</v>
      </c>
      <c r="Y78" s="90">
        <f>$S78*'Y2_3 Cash Flow Assumptions'!I78</f>
        <v>2227.272727272727</v>
      </c>
      <c r="Z78" s="90">
        <f>$S78*'Y2_3 Cash Flow Assumptions'!J78</f>
        <v>2227.272727272727</v>
      </c>
      <c r="AA78" s="90">
        <f>$S78*'Y2_3 Cash Flow Assumptions'!K78</f>
        <v>2227.272727272727</v>
      </c>
      <c r="AB78" s="90">
        <f>$S78*'Y2_3 Cash Flow Assumptions'!L78</f>
        <v>2227.272727272727</v>
      </c>
      <c r="AC78" s="90">
        <f>$S78*'Y2_3 Cash Flow Assumptions'!M78</f>
        <v>2227.272727272727</v>
      </c>
      <c r="AD78" s="90">
        <f>$S78*'Y2_3 Cash Flow Assumptions'!N78</f>
        <v>2227.272727272727</v>
      </c>
      <c r="AE78" s="90">
        <f>$S78*'Y2_3 Cash Flow Assumptions'!O78</f>
        <v>2227.272727272727</v>
      </c>
      <c r="AF78" s="89">
        <f>$S78*'Y2_3 Cash Flow Assumptions'!P78</f>
        <v>0</v>
      </c>
      <c r="AI78" s="89">
        <f>'Budget Summary'!E74</f>
        <v>35000</v>
      </c>
      <c r="AJ78" s="89">
        <f>$AI78*'Y2_3 Cash Flow Assumptions'!D78</f>
        <v>10500</v>
      </c>
      <c r="AK78" s="89">
        <f>$AI78*'Y2_3 Cash Flow Assumptions'!E78</f>
        <v>2227.272727272727</v>
      </c>
      <c r="AL78" s="89">
        <f>$AI78*'Y2_3 Cash Flow Assumptions'!F78</f>
        <v>2227.272727272727</v>
      </c>
      <c r="AM78" s="89">
        <f>$AI78*'Y2_3 Cash Flow Assumptions'!G78</f>
        <v>2227.272727272727</v>
      </c>
      <c r="AN78" s="89">
        <f>$AI78*'Y2_3 Cash Flow Assumptions'!H78</f>
        <v>2227.272727272727</v>
      </c>
      <c r="AO78" s="89">
        <f>$AI78*'Y2_3 Cash Flow Assumptions'!I78</f>
        <v>2227.272727272727</v>
      </c>
      <c r="AP78" s="89">
        <f>$AI78*'Y2_3 Cash Flow Assumptions'!J78</f>
        <v>2227.272727272727</v>
      </c>
      <c r="AQ78" s="89">
        <f>$AI78*'Y2_3 Cash Flow Assumptions'!K78</f>
        <v>2227.272727272727</v>
      </c>
      <c r="AR78" s="89">
        <f>$AI78*'Y2_3 Cash Flow Assumptions'!L78</f>
        <v>2227.272727272727</v>
      </c>
      <c r="AS78" s="89">
        <f>$AI78*'Y2_3 Cash Flow Assumptions'!M78</f>
        <v>2227.272727272727</v>
      </c>
      <c r="AT78" s="89">
        <f>$AI78*'Y2_3 Cash Flow Assumptions'!N78</f>
        <v>2227.272727272727</v>
      </c>
      <c r="AU78" s="89">
        <f>$AI78*'Y2_3 Cash Flow Assumptions'!O78</f>
        <v>2227.272727272727</v>
      </c>
      <c r="AV78" s="89">
        <f>$AI78*'Y2_3 Cash Flow Assumptions'!P78</f>
        <v>0</v>
      </c>
    </row>
    <row r="79" spans="1:48" outlineLevel="1">
      <c r="A79" s="23"/>
      <c r="B79" s="24" t="s">
        <v>60</v>
      </c>
      <c r="C79" s="89">
        <f>'Budget Summary'!C75</f>
        <v>14400</v>
      </c>
      <c r="D79" s="90">
        <f>$C79*'Y1 Cash Flow Assumptions'!D79</f>
        <v>1200</v>
      </c>
      <c r="E79" s="90">
        <f>$C79*'Y1 Cash Flow Assumptions'!E79</f>
        <v>1200</v>
      </c>
      <c r="F79" s="90">
        <f>$C79*'Y1 Cash Flow Assumptions'!F79</f>
        <v>1200</v>
      </c>
      <c r="G79" s="90">
        <f>$C79*'Y1 Cash Flow Assumptions'!G79</f>
        <v>1200</v>
      </c>
      <c r="H79" s="90">
        <f>$C79*'Y1 Cash Flow Assumptions'!H79</f>
        <v>1200</v>
      </c>
      <c r="I79" s="90">
        <f>$C79*'Y1 Cash Flow Assumptions'!I79</f>
        <v>1200</v>
      </c>
      <c r="J79" s="90">
        <f>$C79*'Y1 Cash Flow Assumptions'!J79</f>
        <v>1200</v>
      </c>
      <c r="K79" s="90">
        <f>$C79*'Y1 Cash Flow Assumptions'!K79</f>
        <v>1200</v>
      </c>
      <c r="L79" s="90">
        <f>$C79*'Y1 Cash Flow Assumptions'!L79</f>
        <v>1200</v>
      </c>
      <c r="M79" s="90">
        <f>$C79*'Y1 Cash Flow Assumptions'!M79</f>
        <v>1200</v>
      </c>
      <c r="N79" s="90">
        <f>$C79*'Y1 Cash Flow Assumptions'!N79</f>
        <v>1200</v>
      </c>
      <c r="O79" s="90">
        <f>$C79*'Y1 Cash Flow Assumptions'!O79</f>
        <v>1200</v>
      </c>
      <c r="P79" s="90">
        <f>$C79*'Y1 Cash Flow Assumptions'!P79</f>
        <v>0</v>
      </c>
      <c r="S79" s="89">
        <f>'Budget Summary'!D75</f>
        <v>14400</v>
      </c>
      <c r="T79" s="90">
        <f>$S79*'Y2_3 Cash Flow Assumptions'!D79</f>
        <v>1200</v>
      </c>
      <c r="U79" s="90">
        <f>$S79*'Y2_3 Cash Flow Assumptions'!E79</f>
        <v>1200</v>
      </c>
      <c r="V79" s="90">
        <f>$S79*'Y2_3 Cash Flow Assumptions'!F79</f>
        <v>1200</v>
      </c>
      <c r="W79" s="90">
        <f>$S79*'Y2_3 Cash Flow Assumptions'!G79</f>
        <v>1200</v>
      </c>
      <c r="X79" s="90">
        <f>$S79*'Y2_3 Cash Flow Assumptions'!H79</f>
        <v>1200</v>
      </c>
      <c r="Y79" s="90">
        <f>$S79*'Y2_3 Cash Flow Assumptions'!I79</f>
        <v>1200</v>
      </c>
      <c r="Z79" s="90">
        <f>$S79*'Y2_3 Cash Flow Assumptions'!J79</f>
        <v>1200</v>
      </c>
      <c r="AA79" s="90">
        <f>$S79*'Y2_3 Cash Flow Assumptions'!K79</f>
        <v>1200</v>
      </c>
      <c r="AB79" s="90">
        <f>$S79*'Y2_3 Cash Flow Assumptions'!L79</f>
        <v>1200</v>
      </c>
      <c r="AC79" s="90">
        <f>$S79*'Y2_3 Cash Flow Assumptions'!M79</f>
        <v>1200</v>
      </c>
      <c r="AD79" s="90">
        <f>$S79*'Y2_3 Cash Flow Assumptions'!N79</f>
        <v>1200</v>
      </c>
      <c r="AE79" s="90">
        <f>$S79*'Y2_3 Cash Flow Assumptions'!O79</f>
        <v>1200</v>
      </c>
      <c r="AF79" s="89">
        <f>$S79*'Y2_3 Cash Flow Assumptions'!P79</f>
        <v>0</v>
      </c>
      <c r="AI79" s="89">
        <f>'Budget Summary'!E75</f>
        <v>14400</v>
      </c>
      <c r="AJ79" s="89">
        <f>$AI79*'Y2_3 Cash Flow Assumptions'!D79</f>
        <v>1200</v>
      </c>
      <c r="AK79" s="89">
        <f>$AI79*'Y2_3 Cash Flow Assumptions'!E79</f>
        <v>1200</v>
      </c>
      <c r="AL79" s="89">
        <f>$AI79*'Y2_3 Cash Flow Assumptions'!F79</f>
        <v>1200</v>
      </c>
      <c r="AM79" s="89">
        <f>$AI79*'Y2_3 Cash Flow Assumptions'!G79</f>
        <v>1200</v>
      </c>
      <c r="AN79" s="89">
        <f>$AI79*'Y2_3 Cash Flow Assumptions'!H79</f>
        <v>1200</v>
      </c>
      <c r="AO79" s="89">
        <f>$AI79*'Y2_3 Cash Flow Assumptions'!I79</f>
        <v>1200</v>
      </c>
      <c r="AP79" s="89">
        <f>$AI79*'Y2_3 Cash Flow Assumptions'!J79</f>
        <v>1200</v>
      </c>
      <c r="AQ79" s="89">
        <f>$AI79*'Y2_3 Cash Flow Assumptions'!K79</f>
        <v>1200</v>
      </c>
      <c r="AR79" s="89">
        <f>$AI79*'Y2_3 Cash Flow Assumptions'!L79</f>
        <v>1200</v>
      </c>
      <c r="AS79" s="89">
        <f>$AI79*'Y2_3 Cash Flow Assumptions'!M79</f>
        <v>1200</v>
      </c>
      <c r="AT79" s="89">
        <f>$AI79*'Y2_3 Cash Flow Assumptions'!N79</f>
        <v>1200</v>
      </c>
      <c r="AU79" s="89">
        <f>$AI79*'Y2_3 Cash Flow Assumptions'!O79</f>
        <v>1200</v>
      </c>
      <c r="AV79" s="89">
        <f>$AI79*'Y2_3 Cash Flow Assumptions'!P79</f>
        <v>0</v>
      </c>
    </row>
    <row r="80" spans="1:48" outlineLevel="1">
      <c r="A80" s="23"/>
      <c r="B80" s="24" t="s">
        <v>61</v>
      </c>
      <c r="C80" s="89">
        <f>'Budget Summary'!C76</f>
        <v>48000</v>
      </c>
      <c r="D80" s="90">
        <f>$C80*'Y1 Cash Flow Assumptions'!D80</f>
        <v>4000</v>
      </c>
      <c r="E80" s="90">
        <f>$C80*'Y1 Cash Flow Assumptions'!E80</f>
        <v>4000</v>
      </c>
      <c r="F80" s="90">
        <f>$C80*'Y1 Cash Flow Assumptions'!F80</f>
        <v>4000</v>
      </c>
      <c r="G80" s="90">
        <f>$C80*'Y1 Cash Flow Assumptions'!G80</f>
        <v>4000</v>
      </c>
      <c r="H80" s="90">
        <f>$C80*'Y1 Cash Flow Assumptions'!H80</f>
        <v>4000</v>
      </c>
      <c r="I80" s="90">
        <f>$C80*'Y1 Cash Flow Assumptions'!I80</f>
        <v>4000</v>
      </c>
      <c r="J80" s="90">
        <f>$C80*'Y1 Cash Flow Assumptions'!J80</f>
        <v>4000</v>
      </c>
      <c r="K80" s="90">
        <f>$C80*'Y1 Cash Flow Assumptions'!K80</f>
        <v>4000</v>
      </c>
      <c r="L80" s="90">
        <f>$C80*'Y1 Cash Flow Assumptions'!L80</f>
        <v>4000</v>
      </c>
      <c r="M80" s="90">
        <f>$C80*'Y1 Cash Flow Assumptions'!M80</f>
        <v>4000</v>
      </c>
      <c r="N80" s="90">
        <f>$C80*'Y1 Cash Flow Assumptions'!N80</f>
        <v>4000</v>
      </c>
      <c r="O80" s="90">
        <f>$C80*'Y1 Cash Flow Assumptions'!O80</f>
        <v>4000</v>
      </c>
      <c r="P80" s="90">
        <f>$C80*'Y1 Cash Flow Assumptions'!P80</f>
        <v>0</v>
      </c>
      <c r="S80" s="89">
        <f>'Budget Summary'!D76</f>
        <v>48000</v>
      </c>
      <c r="T80" s="90">
        <f>$S80*'Y2_3 Cash Flow Assumptions'!D80</f>
        <v>4000</v>
      </c>
      <c r="U80" s="90">
        <f>$S80*'Y2_3 Cash Flow Assumptions'!E80</f>
        <v>4000</v>
      </c>
      <c r="V80" s="90">
        <f>$S80*'Y2_3 Cash Flow Assumptions'!F80</f>
        <v>4000</v>
      </c>
      <c r="W80" s="90">
        <f>$S80*'Y2_3 Cash Flow Assumptions'!G80</f>
        <v>4000</v>
      </c>
      <c r="X80" s="90">
        <f>$S80*'Y2_3 Cash Flow Assumptions'!H80</f>
        <v>4000</v>
      </c>
      <c r="Y80" s="90">
        <f>$S80*'Y2_3 Cash Flow Assumptions'!I80</f>
        <v>4000</v>
      </c>
      <c r="Z80" s="90">
        <f>$S80*'Y2_3 Cash Flow Assumptions'!J80</f>
        <v>4000</v>
      </c>
      <c r="AA80" s="90">
        <f>$S80*'Y2_3 Cash Flow Assumptions'!K80</f>
        <v>4000</v>
      </c>
      <c r="AB80" s="90">
        <f>$S80*'Y2_3 Cash Flow Assumptions'!L80</f>
        <v>4000</v>
      </c>
      <c r="AC80" s="90">
        <f>$S80*'Y2_3 Cash Flow Assumptions'!M80</f>
        <v>4000</v>
      </c>
      <c r="AD80" s="90">
        <f>$S80*'Y2_3 Cash Flow Assumptions'!N80</f>
        <v>4000</v>
      </c>
      <c r="AE80" s="90">
        <f>$S80*'Y2_3 Cash Flow Assumptions'!O80</f>
        <v>4000</v>
      </c>
      <c r="AF80" s="89">
        <f>$S80*'Y2_3 Cash Flow Assumptions'!P80</f>
        <v>0</v>
      </c>
      <c r="AI80" s="89">
        <f>'Budget Summary'!E76</f>
        <v>48000</v>
      </c>
      <c r="AJ80" s="89">
        <f>$AI80*'Y2_3 Cash Flow Assumptions'!D80</f>
        <v>4000</v>
      </c>
      <c r="AK80" s="89">
        <f>$AI80*'Y2_3 Cash Flow Assumptions'!E80</f>
        <v>4000</v>
      </c>
      <c r="AL80" s="89">
        <f>$AI80*'Y2_3 Cash Flow Assumptions'!F80</f>
        <v>4000</v>
      </c>
      <c r="AM80" s="89">
        <f>$AI80*'Y2_3 Cash Flow Assumptions'!G80</f>
        <v>4000</v>
      </c>
      <c r="AN80" s="89">
        <f>$AI80*'Y2_3 Cash Flow Assumptions'!H80</f>
        <v>4000</v>
      </c>
      <c r="AO80" s="89">
        <f>$AI80*'Y2_3 Cash Flow Assumptions'!I80</f>
        <v>4000</v>
      </c>
      <c r="AP80" s="89">
        <f>$AI80*'Y2_3 Cash Flow Assumptions'!J80</f>
        <v>4000</v>
      </c>
      <c r="AQ80" s="89">
        <f>$AI80*'Y2_3 Cash Flow Assumptions'!K80</f>
        <v>4000</v>
      </c>
      <c r="AR80" s="89">
        <f>$AI80*'Y2_3 Cash Flow Assumptions'!L80</f>
        <v>4000</v>
      </c>
      <c r="AS80" s="89">
        <f>$AI80*'Y2_3 Cash Flow Assumptions'!M80</f>
        <v>4000</v>
      </c>
      <c r="AT80" s="89">
        <f>$AI80*'Y2_3 Cash Flow Assumptions'!N80</f>
        <v>4000</v>
      </c>
      <c r="AU80" s="89">
        <f>$AI80*'Y2_3 Cash Flow Assumptions'!O80</f>
        <v>4000</v>
      </c>
      <c r="AV80" s="89">
        <f>$AI80*'Y2_3 Cash Flow Assumptions'!P80</f>
        <v>0</v>
      </c>
    </row>
    <row r="81" spans="1:48" outlineLevel="1">
      <c r="A81" s="23"/>
      <c r="B81" s="24" t="s">
        <v>211</v>
      </c>
      <c r="C81" s="89">
        <f>'Budget Summary'!C77</f>
        <v>0</v>
      </c>
      <c r="D81" s="90">
        <f>$C81*'Y1 Cash Flow Assumptions'!D81</f>
        <v>0</v>
      </c>
      <c r="E81" s="90">
        <f>$C81*'Y1 Cash Flow Assumptions'!E81</f>
        <v>0</v>
      </c>
      <c r="F81" s="90">
        <f>$C81*'Y1 Cash Flow Assumptions'!F81</f>
        <v>0</v>
      </c>
      <c r="G81" s="90">
        <f>$C81*'Y1 Cash Flow Assumptions'!G81</f>
        <v>0</v>
      </c>
      <c r="H81" s="90">
        <f>$C81*'Y1 Cash Flow Assumptions'!H81</f>
        <v>0</v>
      </c>
      <c r="I81" s="90">
        <f>$C81*'Y1 Cash Flow Assumptions'!I81</f>
        <v>0</v>
      </c>
      <c r="J81" s="90">
        <f>$C81*'Y1 Cash Flow Assumptions'!J81</f>
        <v>0</v>
      </c>
      <c r="K81" s="90">
        <f>$C81*'Y1 Cash Flow Assumptions'!K81</f>
        <v>0</v>
      </c>
      <c r="L81" s="90">
        <f>$C81*'Y1 Cash Flow Assumptions'!L81</f>
        <v>0</v>
      </c>
      <c r="M81" s="90">
        <f>$C81*'Y1 Cash Flow Assumptions'!M81</f>
        <v>0</v>
      </c>
      <c r="N81" s="90">
        <f>$C81*'Y1 Cash Flow Assumptions'!N81</f>
        <v>0</v>
      </c>
      <c r="O81" s="90">
        <f>$C81*'Y1 Cash Flow Assumptions'!O81</f>
        <v>0</v>
      </c>
      <c r="P81" s="90">
        <f>$C81*'Y1 Cash Flow Assumptions'!P81</f>
        <v>0</v>
      </c>
      <c r="S81" s="89">
        <f>'Budget Summary'!D77</f>
        <v>0</v>
      </c>
      <c r="T81" s="90">
        <f>$S81*'Y2_3 Cash Flow Assumptions'!D81</f>
        <v>0</v>
      </c>
      <c r="U81" s="90">
        <f>$S81*'Y2_3 Cash Flow Assumptions'!E81</f>
        <v>0</v>
      </c>
      <c r="V81" s="90">
        <f>$S81*'Y2_3 Cash Flow Assumptions'!F81</f>
        <v>0</v>
      </c>
      <c r="W81" s="90">
        <f>$S81*'Y2_3 Cash Flow Assumptions'!G81</f>
        <v>0</v>
      </c>
      <c r="X81" s="90">
        <f>$S81*'Y2_3 Cash Flow Assumptions'!H81</f>
        <v>0</v>
      </c>
      <c r="Y81" s="90">
        <f>$S81*'Y2_3 Cash Flow Assumptions'!I81</f>
        <v>0</v>
      </c>
      <c r="Z81" s="90">
        <f>$S81*'Y2_3 Cash Flow Assumptions'!J81</f>
        <v>0</v>
      </c>
      <c r="AA81" s="90">
        <f>$S81*'Y2_3 Cash Flow Assumptions'!K81</f>
        <v>0</v>
      </c>
      <c r="AB81" s="90">
        <f>$S81*'Y2_3 Cash Flow Assumptions'!L81</f>
        <v>0</v>
      </c>
      <c r="AC81" s="90">
        <f>$S81*'Y2_3 Cash Flow Assumptions'!M81</f>
        <v>0</v>
      </c>
      <c r="AD81" s="90">
        <f>$S81*'Y2_3 Cash Flow Assumptions'!N81</f>
        <v>0</v>
      </c>
      <c r="AE81" s="90">
        <f>$S81*'Y2_3 Cash Flow Assumptions'!O81</f>
        <v>0</v>
      </c>
      <c r="AF81" s="89">
        <f>$S81*'Y2_3 Cash Flow Assumptions'!P81</f>
        <v>0</v>
      </c>
      <c r="AI81" s="89">
        <f>'Budget Summary'!E77</f>
        <v>0</v>
      </c>
      <c r="AJ81" s="89">
        <f>$AI81*'Y2_3 Cash Flow Assumptions'!D81</f>
        <v>0</v>
      </c>
      <c r="AK81" s="89">
        <f>$AI81*'Y2_3 Cash Flow Assumptions'!E81</f>
        <v>0</v>
      </c>
      <c r="AL81" s="89">
        <f>$AI81*'Y2_3 Cash Flow Assumptions'!F81</f>
        <v>0</v>
      </c>
      <c r="AM81" s="89">
        <f>$AI81*'Y2_3 Cash Flow Assumptions'!G81</f>
        <v>0</v>
      </c>
      <c r="AN81" s="89">
        <f>$AI81*'Y2_3 Cash Flow Assumptions'!H81</f>
        <v>0</v>
      </c>
      <c r="AO81" s="89">
        <f>$AI81*'Y2_3 Cash Flow Assumptions'!I81</f>
        <v>0</v>
      </c>
      <c r="AP81" s="89">
        <f>$AI81*'Y2_3 Cash Flow Assumptions'!J81</f>
        <v>0</v>
      </c>
      <c r="AQ81" s="89">
        <f>$AI81*'Y2_3 Cash Flow Assumptions'!K81</f>
        <v>0</v>
      </c>
      <c r="AR81" s="89">
        <f>$AI81*'Y2_3 Cash Flow Assumptions'!L81</f>
        <v>0</v>
      </c>
      <c r="AS81" s="89">
        <f>$AI81*'Y2_3 Cash Flow Assumptions'!M81</f>
        <v>0</v>
      </c>
      <c r="AT81" s="89">
        <f>$AI81*'Y2_3 Cash Flow Assumptions'!N81</f>
        <v>0</v>
      </c>
      <c r="AU81" s="89">
        <f>$AI81*'Y2_3 Cash Flow Assumptions'!O81</f>
        <v>0</v>
      </c>
      <c r="AV81" s="89">
        <f>$AI81*'Y2_3 Cash Flow Assumptions'!P81</f>
        <v>0</v>
      </c>
    </row>
    <row r="82" spans="1:48" outlineLevel="1">
      <c r="A82" s="23"/>
      <c r="B82" s="24" t="s">
        <v>212</v>
      </c>
      <c r="C82" s="89">
        <f>'Budget Summary'!C78</f>
        <v>96000</v>
      </c>
      <c r="D82" s="89">
        <f>$C82*'Y1 Cash Flow Assumptions'!D82</f>
        <v>8000</v>
      </c>
      <c r="E82" s="89">
        <f>$C82*'Y1 Cash Flow Assumptions'!E82</f>
        <v>8000</v>
      </c>
      <c r="F82" s="89">
        <f>$C82*'Y1 Cash Flow Assumptions'!F82</f>
        <v>8000</v>
      </c>
      <c r="G82" s="89">
        <f>$C82*'Y1 Cash Flow Assumptions'!G82</f>
        <v>8000</v>
      </c>
      <c r="H82" s="89">
        <f>$C82*'Y1 Cash Flow Assumptions'!H82</f>
        <v>8000</v>
      </c>
      <c r="I82" s="89">
        <f>$C82*'Y1 Cash Flow Assumptions'!I82</f>
        <v>8000</v>
      </c>
      <c r="J82" s="89">
        <f>$C82*'Y1 Cash Flow Assumptions'!J82</f>
        <v>8000</v>
      </c>
      <c r="K82" s="89">
        <f>$C82*'Y1 Cash Flow Assumptions'!K82</f>
        <v>8000</v>
      </c>
      <c r="L82" s="89">
        <f>$C82*'Y1 Cash Flow Assumptions'!L82</f>
        <v>8000</v>
      </c>
      <c r="M82" s="89">
        <f>$C82*'Y1 Cash Flow Assumptions'!M82</f>
        <v>8000</v>
      </c>
      <c r="N82" s="89">
        <f>$C82*'Y1 Cash Flow Assumptions'!N82</f>
        <v>8000</v>
      </c>
      <c r="O82" s="89">
        <f>$C82*'Y1 Cash Flow Assumptions'!O82</f>
        <v>8000</v>
      </c>
      <c r="P82" s="90">
        <f>$C82*'Y1 Cash Flow Assumptions'!P82</f>
        <v>0</v>
      </c>
      <c r="S82" s="89">
        <f>'Budget Summary'!D78</f>
        <v>96000</v>
      </c>
      <c r="T82" s="89">
        <f>$S82*'Y2_3 Cash Flow Assumptions'!D82</f>
        <v>8000</v>
      </c>
      <c r="U82" s="89">
        <f>$S82*'Y2_3 Cash Flow Assumptions'!E82</f>
        <v>8000</v>
      </c>
      <c r="V82" s="89">
        <f>$S82*'Y2_3 Cash Flow Assumptions'!F82</f>
        <v>8000</v>
      </c>
      <c r="W82" s="89">
        <f>$S82*'Y2_3 Cash Flow Assumptions'!G82</f>
        <v>8000</v>
      </c>
      <c r="X82" s="89">
        <f>$S82*'Y2_3 Cash Flow Assumptions'!H82</f>
        <v>8000</v>
      </c>
      <c r="Y82" s="89">
        <f>$S82*'Y2_3 Cash Flow Assumptions'!I82</f>
        <v>8000</v>
      </c>
      <c r="Z82" s="89">
        <f>$S82*'Y2_3 Cash Flow Assumptions'!J82</f>
        <v>8000</v>
      </c>
      <c r="AA82" s="89">
        <f>$S82*'Y2_3 Cash Flow Assumptions'!K82</f>
        <v>8000</v>
      </c>
      <c r="AB82" s="89">
        <f>$S82*'Y2_3 Cash Flow Assumptions'!L82</f>
        <v>8000</v>
      </c>
      <c r="AC82" s="89">
        <f>$S82*'Y2_3 Cash Flow Assumptions'!M82</f>
        <v>8000</v>
      </c>
      <c r="AD82" s="89">
        <f>$S82*'Y2_3 Cash Flow Assumptions'!N82</f>
        <v>8000</v>
      </c>
      <c r="AE82" s="89">
        <f>$S82*'Y2_3 Cash Flow Assumptions'!O82</f>
        <v>8000</v>
      </c>
      <c r="AF82" s="89">
        <f>$S82*'Y2_3 Cash Flow Assumptions'!P82</f>
        <v>0</v>
      </c>
      <c r="AI82" s="89">
        <f>'Budget Summary'!E78</f>
        <v>96000</v>
      </c>
      <c r="AJ82" s="89">
        <f>$AI82*'Y2_3 Cash Flow Assumptions'!D82</f>
        <v>8000</v>
      </c>
      <c r="AK82" s="89">
        <f>$AI82*'Y2_3 Cash Flow Assumptions'!E82</f>
        <v>8000</v>
      </c>
      <c r="AL82" s="89">
        <f>$AI82*'Y2_3 Cash Flow Assumptions'!F82</f>
        <v>8000</v>
      </c>
      <c r="AM82" s="89">
        <f>$AI82*'Y2_3 Cash Flow Assumptions'!G82</f>
        <v>8000</v>
      </c>
      <c r="AN82" s="89">
        <f>$AI82*'Y2_3 Cash Flow Assumptions'!H82</f>
        <v>8000</v>
      </c>
      <c r="AO82" s="89">
        <f>$AI82*'Y2_3 Cash Flow Assumptions'!I82</f>
        <v>8000</v>
      </c>
      <c r="AP82" s="89">
        <f>$AI82*'Y2_3 Cash Flow Assumptions'!J82</f>
        <v>8000</v>
      </c>
      <c r="AQ82" s="89">
        <f>$AI82*'Y2_3 Cash Flow Assumptions'!K82</f>
        <v>8000</v>
      </c>
      <c r="AR82" s="89">
        <f>$AI82*'Y2_3 Cash Flow Assumptions'!L82</f>
        <v>8000</v>
      </c>
      <c r="AS82" s="89">
        <f>$AI82*'Y2_3 Cash Flow Assumptions'!M82</f>
        <v>8000</v>
      </c>
      <c r="AT82" s="89">
        <f>$AI82*'Y2_3 Cash Flow Assumptions'!N82</f>
        <v>8000</v>
      </c>
      <c r="AU82" s="89">
        <f>$AI82*'Y2_3 Cash Flow Assumptions'!O82</f>
        <v>8000</v>
      </c>
      <c r="AV82" s="89">
        <f>$AI82*'Y2_3 Cash Flow Assumptions'!P82</f>
        <v>0</v>
      </c>
    </row>
    <row r="83" spans="1:48" outlineLevel="1">
      <c r="A83" s="23"/>
      <c r="B83" s="24" t="s">
        <v>62</v>
      </c>
      <c r="C83" s="89">
        <f>'Budget Summary'!C79</f>
        <v>0</v>
      </c>
      <c r="D83" s="90">
        <f>$C83*'Y1 Cash Flow Assumptions'!D83</f>
        <v>0</v>
      </c>
      <c r="E83" s="90">
        <f>$C83*'Y1 Cash Flow Assumptions'!E83</f>
        <v>0</v>
      </c>
      <c r="F83" s="90">
        <f>$C83*'Y1 Cash Flow Assumptions'!F83</f>
        <v>0</v>
      </c>
      <c r="G83" s="90">
        <f>$C83*'Y1 Cash Flow Assumptions'!G83</f>
        <v>0</v>
      </c>
      <c r="H83" s="90">
        <f>$C83*'Y1 Cash Flow Assumptions'!H83</f>
        <v>0</v>
      </c>
      <c r="I83" s="90">
        <f>$C83*'Y1 Cash Flow Assumptions'!I83</f>
        <v>0</v>
      </c>
      <c r="J83" s="90">
        <f>$C83*'Y1 Cash Flow Assumptions'!J83</f>
        <v>0</v>
      </c>
      <c r="K83" s="90">
        <f>$C83*'Y1 Cash Flow Assumptions'!K83</f>
        <v>0</v>
      </c>
      <c r="L83" s="90">
        <f>$C83*'Y1 Cash Flow Assumptions'!L83</f>
        <v>0</v>
      </c>
      <c r="M83" s="90">
        <f>$C83*'Y1 Cash Flow Assumptions'!M83</f>
        <v>0</v>
      </c>
      <c r="N83" s="90">
        <f>$C83*'Y1 Cash Flow Assumptions'!N83</f>
        <v>0</v>
      </c>
      <c r="O83" s="90">
        <f>$C83*'Y1 Cash Flow Assumptions'!O83</f>
        <v>0</v>
      </c>
      <c r="P83" s="90">
        <f>$C83*'Y1 Cash Flow Assumptions'!P83</f>
        <v>0</v>
      </c>
      <c r="S83" s="89">
        <f>'Budget Summary'!D79</f>
        <v>0</v>
      </c>
      <c r="T83" s="90">
        <f>$S83*'Y2_3 Cash Flow Assumptions'!D83</f>
        <v>0</v>
      </c>
      <c r="U83" s="90">
        <f>$S83*'Y2_3 Cash Flow Assumptions'!E83</f>
        <v>0</v>
      </c>
      <c r="V83" s="90">
        <f>$S83*'Y2_3 Cash Flow Assumptions'!F83</f>
        <v>0</v>
      </c>
      <c r="W83" s="90">
        <f>$S83*'Y2_3 Cash Flow Assumptions'!G83</f>
        <v>0</v>
      </c>
      <c r="X83" s="90">
        <f>$S83*'Y2_3 Cash Flow Assumptions'!H83</f>
        <v>0</v>
      </c>
      <c r="Y83" s="90">
        <f>$S83*'Y2_3 Cash Flow Assumptions'!I83</f>
        <v>0</v>
      </c>
      <c r="Z83" s="90">
        <f>$S83*'Y2_3 Cash Flow Assumptions'!J83</f>
        <v>0</v>
      </c>
      <c r="AA83" s="90">
        <f>$S83*'Y2_3 Cash Flow Assumptions'!K83</f>
        <v>0</v>
      </c>
      <c r="AB83" s="90">
        <f>$S83*'Y2_3 Cash Flow Assumptions'!L83</f>
        <v>0</v>
      </c>
      <c r="AC83" s="90">
        <f>$S83*'Y2_3 Cash Flow Assumptions'!M83</f>
        <v>0</v>
      </c>
      <c r="AD83" s="90">
        <f>$S83*'Y2_3 Cash Flow Assumptions'!N83</f>
        <v>0</v>
      </c>
      <c r="AE83" s="90">
        <f>$S83*'Y2_3 Cash Flow Assumptions'!O83</f>
        <v>0</v>
      </c>
      <c r="AF83" s="89">
        <f>$S83*'Y2_3 Cash Flow Assumptions'!P83</f>
        <v>0</v>
      </c>
      <c r="AI83" s="89">
        <f>'Budget Summary'!E79</f>
        <v>0</v>
      </c>
      <c r="AJ83" s="89">
        <f>$AI83*'Y2_3 Cash Flow Assumptions'!D83</f>
        <v>0</v>
      </c>
      <c r="AK83" s="89">
        <f>$AI83*'Y2_3 Cash Flow Assumptions'!E83</f>
        <v>0</v>
      </c>
      <c r="AL83" s="89">
        <f>$AI83*'Y2_3 Cash Flow Assumptions'!F83</f>
        <v>0</v>
      </c>
      <c r="AM83" s="89">
        <f>$AI83*'Y2_3 Cash Flow Assumptions'!G83</f>
        <v>0</v>
      </c>
      <c r="AN83" s="89">
        <f>$AI83*'Y2_3 Cash Flow Assumptions'!H83</f>
        <v>0</v>
      </c>
      <c r="AO83" s="89">
        <f>$AI83*'Y2_3 Cash Flow Assumptions'!I83</f>
        <v>0</v>
      </c>
      <c r="AP83" s="89">
        <f>$AI83*'Y2_3 Cash Flow Assumptions'!J83</f>
        <v>0</v>
      </c>
      <c r="AQ83" s="89">
        <f>$AI83*'Y2_3 Cash Flow Assumptions'!K83</f>
        <v>0</v>
      </c>
      <c r="AR83" s="89">
        <f>$AI83*'Y2_3 Cash Flow Assumptions'!L83</f>
        <v>0</v>
      </c>
      <c r="AS83" s="89">
        <f>$AI83*'Y2_3 Cash Flow Assumptions'!M83</f>
        <v>0</v>
      </c>
      <c r="AT83" s="89">
        <f>$AI83*'Y2_3 Cash Flow Assumptions'!N83</f>
        <v>0</v>
      </c>
      <c r="AU83" s="89">
        <f>$AI83*'Y2_3 Cash Flow Assumptions'!O83</f>
        <v>0</v>
      </c>
      <c r="AV83" s="89">
        <f>$AI83*'Y2_3 Cash Flow Assumptions'!P83</f>
        <v>0</v>
      </c>
    </row>
    <row r="84" spans="1:48" outlineLevel="1">
      <c r="A84" s="23"/>
      <c r="B84" s="24" t="s">
        <v>258</v>
      </c>
      <c r="C84" s="89">
        <f>'Budget Summary'!C80</f>
        <v>6000</v>
      </c>
      <c r="D84" s="90">
        <f>$C84*'Y1 Cash Flow Assumptions'!D84</f>
        <v>500</v>
      </c>
      <c r="E84" s="90">
        <f>$C84*'Y1 Cash Flow Assumptions'!E84</f>
        <v>500</v>
      </c>
      <c r="F84" s="90">
        <f>$C84*'Y1 Cash Flow Assumptions'!F84</f>
        <v>500</v>
      </c>
      <c r="G84" s="90">
        <f>$C84*'Y1 Cash Flow Assumptions'!G84</f>
        <v>500</v>
      </c>
      <c r="H84" s="90">
        <f>$C84*'Y1 Cash Flow Assumptions'!H84</f>
        <v>500</v>
      </c>
      <c r="I84" s="90">
        <f>$C84*'Y1 Cash Flow Assumptions'!I84</f>
        <v>500</v>
      </c>
      <c r="J84" s="90">
        <f>$C84*'Y1 Cash Flow Assumptions'!J84</f>
        <v>500</v>
      </c>
      <c r="K84" s="90">
        <f>$C84*'Y1 Cash Flow Assumptions'!K84</f>
        <v>500</v>
      </c>
      <c r="L84" s="90">
        <f>$C84*'Y1 Cash Flow Assumptions'!L84</f>
        <v>500</v>
      </c>
      <c r="M84" s="90">
        <f>$C84*'Y1 Cash Flow Assumptions'!M84</f>
        <v>500</v>
      </c>
      <c r="N84" s="90">
        <f>$C84*'Y1 Cash Flow Assumptions'!N84</f>
        <v>500</v>
      </c>
      <c r="O84" s="90">
        <f>$C84*'Y1 Cash Flow Assumptions'!O84</f>
        <v>500</v>
      </c>
      <c r="P84" s="90">
        <f>$C84*'Y1 Cash Flow Assumptions'!P84</f>
        <v>0</v>
      </c>
      <c r="S84" s="89">
        <f>'Budget Summary'!D80</f>
        <v>6000</v>
      </c>
      <c r="T84" s="90">
        <f>$S84*'Y2_3 Cash Flow Assumptions'!D84</f>
        <v>500</v>
      </c>
      <c r="U84" s="90">
        <f>$S84*'Y2_3 Cash Flow Assumptions'!E84</f>
        <v>500</v>
      </c>
      <c r="V84" s="90">
        <f>$S84*'Y2_3 Cash Flow Assumptions'!F84</f>
        <v>500</v>
      </c>
      <c r="W84" s="90">
        <f>$S84*'Y2_3 Cash Flow Assumptions'!G84</f>
        <v>500</v>
      </c>
      <c r="X84" s="90">
        <f>$S84*'Y2_3 Cash Flow Assumptions'!H84</f>
        <v>500</v>
      </c>
      <c r="Y84" s="90">
        <f>$S84*'Y2_3 Cash Flow Assumptions'!I84</f>
        <v>500</v>
      </c>
      <c r="Z84" s="90">
        <f>$S84*'Y2_3 Cash Flow Assumptions'!J84</f>
        <v>500</v>
      </c>
      <c r="AA84" s="90">
        <f>$S84*'Y2_3 Cash Flow Assumptions'!K84</f>
        <v>500</v>
      </c>
      <c r="AB84" s="90">
        <f>$S84*'Y2_3 Cash Flow Assumptions'!L84</f>
        <v>500</v>
      </c>
      <c r="AC84" s="90">
        <f>$S84*'Y2_3 Cash Flow Assumptions'!M84</f>
        <v>500</v>
      </c>
      <c r="AD84" s="90">
        <f>$S84*'Y2_3 Cash Flow Assumptions'!N84</f>
        <v>500</v>
      </c>
      <c r="AE84" s="90">
        <f>$S84*'Y2_3 Cash Flow Assumptions'!O84</f>
        <v>500</v>
      </c>
      <c r="AF84" s="89">
        <f>$S84*'Y2_3 Cash Flow Assumptions'!P84</f>
        <v>0</v>
      </c>
      <c r="AI84" s="89">
        <f>'Budget Summary'!E80</f>
        <v>6000</v>
      </c>
      <c r="AJ84" s="89">
        <f>$AI84*'Y2_3 Cash Flow Assumptions'!D84</f>
        <v>500</v>
      </c>
      <c r="AK84" s="89">
        <f>$AI84*'Y2_3 Cash Flow Assumptions'!E84</f>
        <v>500</v>
      </c>
      <c r="AL84" s="89">
        <f>$AI84*'Y2_3 Cash Flow Assumptions'!F84</f>
        <v>500</v>
      </c>
      <c r="AM84" s="89">
        <f>$AI84*'Y2_3 Cash Flow Assumptions'!G84</f>
        <v>500</v>
      </c>
      <c r="AN84" s="89">
        <f>$AI84*'Y2_3 Cash Flow Assumptions'!H84</f>
        <v>500</v>
      </c>
      <c r="AO84" s="89">
        <f>$AI84*'Y2_3 Cash Flow Assumptions'!I84</f>
        <v>500</v>
      </c>
      <c r="AP84" s="89">
        <f>$AI84*'Y2_3 Cash Flow Assumptions'!J84</f>
        <v>500</v>
      </c>
      <c r="AQ84" s="89">
        <f>$AI84*'Y2_3 Cash Flow Assumptions'!K84</f>
        <v>500</v>
      </c>
      <c r="AR84" s="89">
        <f>$AI84*'Y2_3 Cash Flow Assumptions'!L84</f>
        <v>500</v>
      </c>
      <c r="AS84" s="89">
        <f>$AI84*'Y2_3 Cash Flow Assumptions'!M84</f>
        <v>500</v>
      </c>
      <c r="AT84" s="89">
        <f>$AI84*'Y2_3 Cash Flow Assumptions'!N84</f>
        <v>500</v>
      </c>
      <c r="AU84" s="89">
        <f>$AI84*'Y2_3 Cash Flow Assumptions'!O84</f>
        <v>500</v>
      </c>
      <c r="AV84" s="89">
        <f>$AI84*'Y2_3 Cash Flow Assumptions'!P84</f>
        <v>0</v>
      </c>
    </row>
    <row r="85" spans="1:48" outlineLevel="1">
      <c r="A85" s="23"/>
      <c r="B85" s="24" t="s">
        <v>71</v>
      </c>
      <c r="C85" s="89">
        <f>'Budget Summary'!C81</f>
        <v>45000</v>
      </c>
      <c r="D85" s="90">
        <f>$C85*'Y1 Cash Flow Assumptions'!D85</f>
        <v>0</v>
      </c>
      <c r="E85" s="90">
        <f>$C85*'Y1 Cash Flow Assumptions'!E85</f>
        <v>2250</v>
      </c>
      <c r="F85" s="90">
        <f>$C85*'Y1 Cash Flow Assumptions'!F85</f>
        <v>4500</v>
      </c>
      <c r="G85" s="90">
        <f>$C85*'Y1 Cash Flow Assumptions'!G85</f>
        <v>4500</v>
      </c>
      <c r="H85" s="90">
        <f>$C85*'Y1 Cash Flow Assumptions'!H85</f>
        <v>4500</v>
      </c>
      <c r="I85" s="90">
        <f>$C85*'Y1 Cash Flow Assumptions'!I85</f>
        <v>4500</v>
      </c>
      <c r="J85" s="90">
        <f>$C85*'Y1 Cash Flow Assumptions'!J85</f>
        <v>4500</v>
      </c>
      <c r="K85" s="90">
        <f>$C85*'Y1 Cash Flow Assumptions'!K85</f>
        <v>4500</v>
      </c>
      <c r="L85" s="90">
        <f>$C85*'Y1 Cash Flow Assumptions'!L85</f>
        <v>4500</v>
      </c>
      <c r="M85" s="90">
        <f>$C85*'Y1 Cash Flow Assumptions'!M85</f>
        <v>4500</v>
      </c>
      <c r="N85" s="90">
        <f>$C85*'Y1 Cash Flow Assumptions'!N85</f>
        <v>4500</v>
      </c>
      <c r="O85" s="90">
        <f>$C85*'Y1 Cash Flow Assumptions'!O85</f>
        <v>2250</v>
      </c>
      <c r="P85" s="90">
        <f>$C85*'Y1 Cash Flow Assumptions'!P85</f>
        <v>0</v>
      </c>
      <c r="S85" s="89">
        <f>'Budget Summary'!D81</f>
        <v>45000</v>
      </c>
      <c r="T85" s="90">
        <f>$S85*'Y2_3 Cash Flow Assumptions'!D85</f>
        <v>0</v>
      </c>
      <c r="U85" s="90">
        <f>$S85*'Y2_3 Cash Flow Assumptions'!E85</f>
        <v>2250</v>
      </c>
      <c r="V85" s="90">
        <f>$S85*'Y2_3 Cash Flow Assumptions'!F85</f>
        <v>4500</v>
      </c>
      <c r="W85" s="90">
        <f>$S85*'Y2_3 Cash Flow Assumptions'!G85</f>
        <v>4500</v>
      </c>
      <c r="X85" s="90">
        <f>$S85*'Y2_3 Cash Flow Assumptions'!H85</f>
        <v>4500</v>
      </c>
      <c r="Y85" s="90">
        <f>$S85*'Y2_3 Cash Flow Assumptions'!I85</f>
        <v>4500</v>
      </c>
      <c r="Z85" s="90">
        <f>$S85*'Y2_3 Cash Flow Assumptions'!J85</f>
        <v>4500</v>
      </c>
      <c r="AA85" s="90">
        <f>$S85*'Y2_3 Cash Flow Assumptions'!K85</f>
        <v>4500</v>
      </c>
      <c r="AB85" s="90">
        <f>$S85*'Y2_3 Cash Flow Assumptions'!L85</f>
        <v>4500</v>
      </c>
      <c r="AC85" s="90">
        <f>$S85*'Y2_3 Cash Flow Assumptions'!M85</f>
        <v>4500</v>
      </c>
      <c r="AD85" s="90">
        <f>$S85*'Y2_3 Cash Flow Assumptions'!N85</f>
        <v>4500</v>
      </c>
      <c r="AE85" s="90">
        <f>$S85*'Y2_3 Cash Flow Assumptions'!O85</f>
        <v>2250</v>
      </c>
      <c r="AF85" s="89">
        <f>$S85*'Y2_3 Cash Flow Assumptions'!P85</f>
        <v>0</v>
      </c>
      <c r="AI85" s="89">
        <f>'Budget Summary'!E81</f>
        <v>45000</v>
      </c>
      <c r="AJ85" s="89">
        <f>$AI85*'Y2_3 Cash Flow Assumptions'!D85</f>
        <v>0</v>
      </c>
      <c r="AK85" s="89">
        <f>$AI85*'Y2_3 Cash Flow Assumptions'!E85</f>
        <v>2250</v>
      </c>
      <c r="AL85" s="89">
        <f>$AI85*'Y2_3 Cash Flow Assumptions'!F85</f>
        <v>4500</v>
      </c>
      <c r="AM85" s="89">
        <f>$AI85*'Y2_3 Cash Flow Assumptions'!G85</f>
        <v>4500</v>
      </c>
      <c r="AN85" s="89">
        <f>$AI85*'Y2_3 Cash Flow Assumptions'!H85</f>
        <v>4500</v>
      </c>
      <c r="AO85" s="89">
        <f>$AI85*'Y2_3 Cash Flow Assumptions'!I85</f>
        <v>4500</v>
      </c>
      <c r="AP85" s="89">
        <f>$AI85*'Y2_3 Cash Flow Assumptions'!J85</f>
        <v>4500</v>
      </c>
      <c r="AQ85" s="89">
        <f>$AI85*'Y2_3 Cash Flow Assumptions'!K85</f>
        <v>4500</v>
      </c>
      <c r="AR85" s="89">
        <f>$AI85*'Y2_3 Cash Flow Assumptions'!L85</f>
        <v>4500</v>
      </c>
      <c r="AS85" s="89">
        <f>$AI85*'Y2_3 Cash Flow Assumptions'!M85</f>
        <v>4500</v>
      </c>
      <c r="AT85" s="89">
        <f>$AI85*'Y2_3 Cash Flow Assumptions'!N85</f>
        <v>4500</v>
      </c>
      <c r="AU85" s="89">
        <f>$AI85*'Y2_3 Cash Flow Assumptions'!O85</f>
        <v>2250</v>
      </c>
      <c r="AV85" s="89">
        <f>$AI85*'Y2_3 Cash Flow Assumptions'!P85</f>
        <v>0</v>
      </c>
    </row>
    <row r="86" spans="1:48" outlineLevel="1">
      <c r="A86" s="23"/>
      <c r="B86" s="24" t="s">
        <v>70</v>
      </c>
      <c r="C86" s="89">
        <f>'Budget Summary'!C82</f>
        <v>500</v>
      </c>
      <c r="D86" s="90">
        <f>$C86*'Y1 Cash Flow Assumptions'!D86</f>
        <v>41.666666666666664</v>
      </c>
      <c r="E86" s="90">
        <f>$C86*'Y1 Cash Flow Assumptions'!E86</f>
        <v>41.666666666666664</v>
      </c>
      <c r="F86" s="90">
        <f>$C86*'Y1 Cash Flow Assumptions'!F86</f>
        <v>41.666666666666664</v>
      </c>
      <c r="G86" s="90">
        <f>$C86*'Y1 Cash Flow Assumptions'!G86</f>
        <v>41.666666666666664</v>
      </c>
      <c r="H86" s="90">
        <f>$C86*'Y1 Cash Flow Assumptions'!H86</f>
        <v>41.666666666666664</v>
      </c>
      <c r="I86" s="90">
        <f>$C86*'Y1 Cash Flow Assumptions'!I86</f>
        <v>41.666666666666664</v>
      </c>
      <c r="J86" s="90">
        <f>$C86*'Y1 Cash Flow Assumptions'!J86</f>
        <v>41.666666666666664</v>
      </c>
      <c r="K86" s="90">
        <f>$C86*'Y1 Cash Flow Assumptions'!K86</f>
        <v>41.666666666666664</v>
      </c>
      <c r="L86" s="90">
        <f>$C86*'Y1 Cash Flow Assumptions'!L86</f>
        <v>41.666666666666664</v>
      </c>
      <c r="M86" s="90">
        <f>$C86*'Y1 Cash Flow Assumptions'!M86</f>
        <v>41.666666666666664</v>
      </c>
      <c r="N86" s="90">
        <f>$C86*'Y1 Cash Flow Assumptions'!N86</f>
        <v>41.666666666666664</v>
      </c>
      <c r="O86" s="90">
        <f>$C86*'Y1 Cash Flow Assumptions'!O86</f>
        <v>41.666666666666664</v>
      </c>
      <c r="P86" s="90">
        <f>$C86*'Y1 Cash Flow Assumptions'!P86</f>
        <v>0</v>
      </c>
      <c r="S86" s="89">
        <f>'Budget Summary'!D82</f>
        <v>500</v>
      </c>
      <c r="T86" s="90">
        <f>$S86*'Y2_3 Cash Flow Assumptions'!D86</f>
        <v>41.666666666666664</v>
      </c>
      <c r="U86" s="90">
        <f>$S86*'Y2_3 Cash Flow Assumptions'!E86</f>
        <v>41.666666666666664</v>
      </c>
      <c r="V86" s="90">
        <f>$S86*'Y2_3 Cash Flow Assumptions'!F86</f>
        <v>41.666666666666664</v>
      </c>
      <c r="W86" s="90">
        <f>$S86*'Y2_3 Cash Flow Assumptions'!G86</f>
        <v>41.666666666666664</v>
      </c>
      <c r="X86" s="90">
        <f>$S86*'Y2_3 Cash Flow Assumptions'!H86</f>
        <v>41.666666666666664</v>
      </c>
      <c r="Y86" s="90">
        <f>$S86*'Y2_3 Cash Flow Assumptions'!I86</f>
        <v>41.666666666666664</v>
      </c>
      <c r="Z86" s="90">
        <f>$S86*'Y2_3 Cash Flow Assumptions'!J86</f>
        <v>41.666666666666664</v>
      </c>
      <c r="AA86" s="90">
        <f>$S86*'Y2_3 Cash Flow Assumptions'!K86</f>
        <v>41.666666666666664</v>
      </c>
      <c r="AB86" s="90">
        <f>$S86*'Y2_3 Cash Flow Assumptions'!L86</f>
        <v>41.666666666666664</v>
      </c>
      <c r="AC86" s="90">
        <f>$S86*'Y2_3 Cash Flow Assumptions'!M86</f>
        <v>41.666666666666664</v>
      </c>
      <c r="AD86" s="90">
        <f>$S86*'Y2_3 Cash Flow Assumptions'!N86</f>
        <v>41.666666666666664</v>
      </c>
      <c r="AE86" s="90">
        <f>$S86*'Y2_3 Cash Flow Assumptions'!O86</f>
        <v>41.666666666666664</v>
      </c>
      <c r="AF86" s="89">
        <f>$S86*'Y2_3 Cash Flow Assumptions'!P86</f>
        <v>0</v>
      </c>
      <c r="AI86" s="89">
        <f>'Budget Summary'!E82</f>
        <v>500</v>
      </c>
      <c r="AJ86" s="89">
        <f>$AI86*'Y2_3 Cash Flow Assumptions'!D86</f>
        <v>41.666666666666664</v>
      </c>
      <c r="AK86" s="89">
        <f>$AI86*'Y2_3 Cash Flow Assumptions'!E86</f>
        <v>41.666666666666664</v>
      </c>
      <c r="AL86" s="89">
        <f>$AI86*'Y2_3 Cash Flow Assumptions'!F86</f>
        <v>41.666666666666664</v>
      </c>
      <c r="AM86" s="89">
        <f>$AI86*'Y2_3 Cash Flow Assumptions'!G86</f>
        <v>41.666666666666664</v>
      </c>
      <c r="AN86" s="89">
        <f>$AI86*'Y2_3 Cash Flow Assumptions'!H86</f>
        <v>41.666666666666664</v>
      </c>
      <c r="AO86" s="89">
        <f>$AI86*'Y2_3 Cash Flow Assumptions'!I86</f>
        <v>41.666666666666664</v>
      </c>
      <c r="AP86" s="89">
        <f>$AI86*'Y2_3 Cash Flow Assumptions'!J86</f>
        <v>41.666666666666664</v>
      </c>
      <c r="AQ86" s="89">
        <f>$AI86*'Y2_3 Cash Flow Assumptions'!K86</f>
        <v>41.666666666666664</v>
      </c>
      <c r="AR86" s="89">
        <f>$AI86*'Y2_3 Cash Flow Assumptions'!L86</f>
        <v>41.666666666666664</v>
      </c>
      <c r="AS86" s="89">
        <f>$AI86*'Y2_3 Cash Flow Assumptions'!M86</f>
        <v>41.666666666666664</v>
      </c>
      <c r="AT86" s="89">
        <f>$AI86*'Y2_3 Cash Flow Assumptions'!N86</f>
        <v>41.666666666666664</v>
      </c>
      <c r="AU86" s="89">
        <f>$AI86*'Y2_3 Cash Flow Assumptions'!O86</f>
        <v>41.666666666666664</v>
      </c>
      <c r="AV86" s="89">
        <f>$AI86*'Y2_3 Cash Flow Assumptions'!P86</f>
        <v>0</v>
      </c>
    </row>
    <row r="87" spans="1:48" outlineLevel="1">
      <c r="A87" s="23"/>
      <c r="B87" s="24" t="s">
        <v>69</v>
      </c>
      <c r="C87" s="89">
        <f>'Budget Summary'!C83</f>
        <v>5000</v>
      </c>
      <c r="D87" s="90">
        <f>$C87*'Y1 Cash Flow Assumptions'!D87</f>
        <v>416.66666666666663</v>
      </c>
      <c r="E87" s="90">
        <f>$C87*'Y1 Cash Flow Assumptions'!E87</f>
        <v>416.66666666666663</v>
      </c>
      <c r="F87" s="90">
        <f>$C87*'Y1 Cash Flow Assumptions'!F87</f>
        <v>416.66666666666663</v>
      </c>
      <c r="G87" s="90">
        <f>$C87*'Y1 Cash Flow Assumptions'!G87</f>
        <v>416.66666666666663</v>
      </c>
      <c r="H87" s="90">
        <f>$C87*'Y1 Cash Flow Assumptions'!H87</f>
        <v>416.66666666666663</v>
      </c>
      <c r="I87" s="90">
        <f>$C87*'Y1 Cash Flow Assumptions'!I87</f>
        <v>416.66666666666663</v>
      </c>
      <c r="J87" s="90">
        <f>$C87*'Y1 Cash Flow Assumptions'!J87</f>
        <v>416.66666666666663</v>
      </c>
      <c r="K87" s="90">
        <f>$C87*'Y1 Cash Flow Assumptions'!K87</f>
        <v>416.66666666666663</v>
      </c>
      <c r="L87" s="90">
        <f>$C87*'Y1 Cash Flow Assumptions'!L87</f>
        <v>416.66666666666663</v>
      </c>
      <c r="M87" s="90">
        <f>$C87*'Y1 Cash Flow Assumptions'!M87</f>
        <v>416.66666666666663</v>
      </c>
      <c r="N87" s="90">
        <f>$C87*'Y1 Cash Flow Assumptions'!N87</f>
        <v>416.66666666666663</v>
      </c>
      <c r="O87" s="90">
        <f>$C87*'Y1 Cash Flow Assumptions'!O87</f>
        <v>416.66666666666663</v>
      </c>
      <c r="P87" s="90">
        <f>$C87*'Y1 Cash Flow Assumptions'!P87</f>
        <v>0</v>
      </c>
      <c r="S87" s="89">
        <f>'Budget Summary'!D83</f>
        <v>5000</v>
      </c>
      <c r="T87" s="90">
        <f>$S87*'Y2_3 Cash Flow Assumptions'!D87</f>
        <v>416.66666666666663</v>
      </c>
      <c r="U87" s="90">
        <f>$S87*'Y2_3 Cash Flow Assumptions'!E87</f>
        <v>416.66666666666663</v>
      </c>
      <c r="V87" s="90">
        <f>$S87*'Y2_3 Cash Flow Assumptions'!F87</f>
        <v>416.66666666666663</v>
      </c>
      <c r="W87" s="90">
        <f>$S87*'Y2_3 Cash Flow Assumptions'!G87</f>
        <v>416.66666666666663</v>
      </c>
      <c r="X87" s="90">
        <f>$S87*'Y2_3 Cash Flow Assumptions'!H87</f>
        <v>416.66666666666663</v>
      </c>
      <c r="Y87" s="90">
        <f>$S87*'Y2_3 Cash Flow Assumptions'!I87</f>
        <v>416.66666666666663</v>
      </c>
      <c r="Z87" s="90">
        <f>$S87*'Y2_3 Cash Flow Assumptions'!J87</f>
        <v>416.66666666666663</v>
      </c>
      <c r="AA87" s="90">
        <f>$S87*'Y2_3 Cash Flow Assumptions'!K87</f>
        <v>416.66666666666663</v>
      </c>
      <c r="AB87" s="90">
        <f>$S87*'Y2_3 Cash Flow Assumptions'!L87</f>
        <v>416.66666666666663</v>
      </c>
      <c r="AC87" s="90">
        <f>$S87*'Y2_3 Cash Flow Assumptions'!M87</f>
        <v>416.66666666666663</v>
      </c>
      <c r="AD87" s="90">
        <f>$S87*'Y2_3 Cash Flow Assumptions'!N87</f>
        <v>416.66666666666663</v>
      </c>
      <c r="AE87" s="90">
        <f>$S87*'Y2_3 Cash Flow Assumptions'!O87</f>
        <v>416.66666666666663</v>
      </c>
      <c r="AF87" s="89">
        <f>$S87*'Y2_3 Cash Flow Assumptions'!P87</f>
        <v>0</v>
      </c>
      <c r="AI87" s="89">
        <f>'Budget Summary'!E83</f>
        <v>5000</v>
      </c>
      <c r="AJ87" s="89">
        <f>$AI87*'Y2_3 Cash Flow Assumptions'!D87</f>
        <v>416.66666666666663</v>
      </c>
      <c r="AK87" s="89">
        <f>$AI87*'Y2_3 Cash Flow Assumptions'!E87</f>
        <v>416.66666666666663</v>
      </c>
      <c r="AL87" s="89">
        <f>$AI87*'Y2_3 Cash Flow Assumptions'!F87</f>
        <v>416.66666666666663</v>
      </c>
      <c r="AM87" s="89">
        <f>$AI87*'Y2_3 Cash Flow Assumptions'!G87</f>
        <v>416.66666666666663</v>
      </c>
      <c r="AN87" s="89">
        <f>$AI87*'Y2_3 Cash Flow Assumptions'!H87</f>
        <v>416.66666666666663</v>
      </c>
      <c r="AO87" s="89">
        <f>$AI87*'Y2_3 Cash Flow Assumptions'!I87</f>
        <v>416.66666666666663</v>
      </c>
      <c r="AP87" s="89">
        <f>$AI87*'Y2_3 Cash Flow Assumptions'!J87</f>
        <v>416.66666666666663</v>
      </c>
      <c r="AQ87" s="89">
        <f>$AI87*'Y2_3 Cash Flow Assumptions'!K87</f>
        <v>416.66666666666663</v>
      </c>
      <c r="AR87" s="89">
        <f>$AI87*'Y2_3 Cash Flow Assumptions'!L87</f>
        <v>416.66666666666663</v>
      </c>
      <c r="AS87" s="89">
        <f>$AI87*'Y2_3 Cash Flow Assumptions'!M87</f>
        <v>416.66666666666663</v>
      </c>
      <c r="AT87" s="89">
        <f>$AI87*'Y2_3 Cash Flow Assumptions'!N87</f>
        <v>416.66666666666663</v>
      </c>
      <c r="AU87" s="89">
        <f>$AI87*'Y2_3 Cash Flow Assumptions'!O87</f>
        <v>416.66666666666663</v>
      </c>
      <c r="AV87" s="89">
        <f>$AI87*'Y2_3 Cash Flow Assumptions'!P87</f>
        <v>0</v>
      </c>
    </row>
    <row r="88" spans="1:48" outlineLevel="1">
      <c r="A88" s="23"/>
      <c r="B88" s="24" t="s">
        <v>72</v>
      </c>
      <c r="C88" s="89">
        <f>'Budget Summary'!C84</f>
        <v>14500</v>
      </c>
      <c r="D88" s="89">
        <f>$C88*'Y1 Cash Flow Assumptions'!D88</f>
        <v>0</v>
      </c>
      <c r="E88" s="89">
        <f>$C88*'Y1 Cash Flow Assumptions'!E88</f>
        <v>0</v>
      </c>
      <c r="F88" s="89">
        <f>$C88*'Y1 Cash Flow Assumptions'!F88</f>
        <v>0</v>
      </c>
      <c r="G88" s="89">
        <f>$C88*'Y1 Cash Flow Assumptions'!G88</f>
        <v>0</v>
      </c>
      <c r="H88" s="89">
        <f>$C88*'Y1 Cash Flow Assumptions'!H88</f>
        <v>0</v>
      </c>
      <c r="I88" s="89">
        <f>$C88*'Y1 Cash Flow Assumptions'!I88</f>
        <v>0</v>
      </c>
      <c r="J88" s="89">
        <f>$C88*'Y1 Cash Flow Assumptions'!J88</f>
        <v>0</v>
      </c>
      <c r="K88" s="89">
        <f>$C88*'Y1 Cash Flow Assumptions'!K88</f>
        <v>0</v>
      </c>
      <c r="L88" s="89">
        <f>$C88*'Y1 Cash Flow Assumptions'!L88</f>
        <v>0</v>
      </c>
      <c r="M88" s="89">
        <f>$C88*'Y1 Cash Flow Assumptions'!M88</f>
        <v>0</v>
      </c>
      <c r="N88" s="89">
        <f>$C88*'Y1 Cash Flow Assumptions'!N88</f>
        <v>0</v>
      </c>
      <c r="O88" s="89">
        <f>$C88*'Y1 Cash Flow Assumptions'!O88</f>
        <v>0</v>
      </c>
      <c r="P88" s="90">
        <f>$C88*'Y1 Cash Flow Assumptions'!P88</f>
        <v>14500</v>
      </c>
      <c r="S88" s="89">
        <f>'Budget Summary'!D84</f>
        <v>14500</v>
      </c>
      <c r="T88" s="89">
        <f>$S88*'Y2_3 Cash Flow Assumptions'!D88</f>
        <v>0</v>
      </c>
      <c r="U88" s="89">
        <f>$S88*'Y2_3 Cash Flow Assumptions'!E88</f>
        <v>0</v>
      </c>
      <c r="V88" s="89">
        <f>$S88*'Y2_3 Cash Flow Assumptions'!F88</f>
        <v>0</v>
      </c>
      <c r="W88" s="89">
        <f>$S88*'Y2_3 Cash Flow Assumptions'!G88</f>
        <v>0</v>
      </c>
      <c r="X88" s="89">
        <f>$S88*'Y2_3 Cash Flow Assumptions'!H88</f>
        <v>0</v>
      </c>
      <c r="Y88" s="89">
        <f>$S88*'Y2_3 Cash Flow Assumptions'!I88</f>
        <v>0</v>
      </c>
      <c r="Z88" s="89">
        <f>$S88*'Y2_3 Cash Flow Assumptions'!J88</f>
        <v>0</v>
      </c>
      <c r="AA88" s="89">
        <f>$S88*'Y2_3 Cash Flow Assumptions'!K88</f>
        <v>0</v>
      </c>
      <c r="AB88" s="89">
        <f>$S88*'Y2_3 Cash Flow Assumptions'!L88</f>
        <v>0</v>
      </c>
      <c r="AC88" s="89">
        <f>$S88*'Y2_3 Cash Flow Assumptions'!M88</f>
        <v>0</v>
      </c>
      <c r="AD88" s="89">
        <f>$S88*'Y2_3 Cash Flow Assumptions'!N88</f>
        <v>0</v>
      </c>
      <c r="AE88" s="89">
        <f>$S88*'Y2_3 Cash Flow Assumptions'!O88</f>
        <v>0</v>
      </c>
      <c r="AF88" s="89">
        <f>$S88*'Y2_3 Cash Flow Assumptions'!P88</f>
        <v>14500</v>
      </c>
      <c r="AI88" s="89">
        <f>'Budget Summary'!E84</f>
        <v>14500</v>
      </c>
      <c r="AJ88" s="89">
        <f>$AI88*'Y2_3 Cash Flow Assumptions'!D88</f>
        <v>0</v>
      </c>
      <c r="AK88" s="89">
        <f>$AI88*'Y2_3 Cash Flow Assumptions'!E88</f>
        <v>0</v>
      </c>
      <c r="AL88" s="89">
        <f>$AI88*'Y2_3 Cash Flow Assumptions'!F88</f>
        <v>0</v>
      </c>
      <c r="AM88" s="89">
        <f>$AI88*'Y2_3 Cash Flow Assumptions'!G88</f>
        <v>0</v>
      </c>
      <c r="AN88" s="89">
        <f>$AI88*'Y2_3 Cash Flow Assumptions'!H88</f>
        <v>0</v>
      </c>
      <c r="AO88" s="89">
        <f>$AI88*'Y2_3 Cash Flow Assumptions'!I88</f>
        <v>0</v>
      </c>
      <c r="AP88" s="89">
        <f>$AI88*'Y2_3 Cash Flow Assumptions'!J88</f>
        <v>0</v>
      </c>
      <c r="AQ88" s="89">
        <f>$AI88*'Y2_3 Cash Flow Assumptions'!K88</f>
        <v>0</v>
      </c>
      <c r="AR88" s="89">
        <f>$AI88*'Y2_3 Cash Flow Assumptions'!L88</f>
        <v>0</v>
      </c>
      <c r="AS88" s="89">
        <f>$AI88*'Y2_3 Cash Flow Assumptions'!M88</f>
        <v>0</v>
      </c>
      <c r="AT88" s="89">
        <f>$AI88*'Y2_3 Cash Flow Assumptions'!N88</f>
        <v>0</v>
      </c>
      <c r="AU88" s="89">
        <f>$AI88*'Y2_3 Cash Flow Assumptions'!O88</f>
        <v>0</v>
      </c>
      <c r="AV88" s="89">
        <f>$AI88*'Y2_3 Cash Flow Assumptions'!P88</f>
        <v>14500</v>
      </c>
    </row>
    <row r="89" spans="1:48" outlineLevel="1">
      <c r="A89" s="23"/>
      <c r="B89" s="24" t="s">
        <v>74</v>
      </c>
      <c r="C89" s="89">
        <f>'Budget Summary'!C85</f>
        <v>0</v>
      </c>
      <c r="D89" s="90">
        <f>$C89*'Y1 Cash Flow Assumptions'!D89</f>
        <v>0</v>
      </c>
      <c r="E89" s="90">
        <f>$C89*'Y1 Cash Flow Assumptions'!E89</f>
        <v>0</v>
      </c>
      <c r="F89" s="90">
        <f>$C89*'Y1 Cash Flow Assumptions'!F89</f>
        <v>0</v>
      </c>
      <c r="G89" s="90">
        <f>$C89*'Y1 Cash Flow Assumptions'!G89</f>
        <v>0</v>
      </c>
      <c r="H89" s="90">
        <f>$C89*'Y1 Cash Flow Assumptions'!H89</f>
        <v>0</v>
      </c>
      <c r="I89" s="90">
        <f>$C89*'Y1 Cash Flow Assumptions'!I89</f>
        <v>0</v>
      </c>
      <c r="J89" s="90">
        <f>$C89*'Y1 Cash Flow Assumptions'!J89</f>
        <v>0</v>
      </c>
      <c r="K89" s="90">
        <f>$C89*'Y1 Cash Flow Assumptions'!K89</f>
        <v>0</v>
      </c>
      <c r="L89" s="90">
        <f>$C89*'Y1 Cash Flow Assumptions'!L89</f>
        <v>0</v>
      </c>
      <c r="M89" s="90">
        <f>$C89*'Y1 Cash Flow Assumptions'!M89</f>
        <v>0</v>
      </c>
      <c r="N89" s="90">
        <f>$C89*'Y1 Cash Flow Assumptions'!N89</f>
        <v>0</v>
      </c>
      <c r="O89" s="90">
        <f>$C89*'Y1 Cash Flow Assumptions'!O89</f>
        <v>0</v>
      </c>
      <c r="P89" s="90">
        <f>$C89*'Y1 Cash Flow Assumptions'!P89</f>
        <v>0</v>
      </c>
      <c r="S89" s="89">
        <f>'Budget Summary'!D85</f>
        <v>0</v>
      </c>
      <c r="T89" s="90">
        <f>$S89*'Y2_3 Cash Flow Assumptions'!D89</f>
        <v>0</v>
      </c>
      <c r="U89" s="90">
        <f>$S89*'Y2_3 Cash Flow Assumptions'!E89</f>
        <v>0</v>
      </c>
      <c r="V89" s="90">
        <f>$S89*'Y2_3 Cash Flow Assumptions'!F89</f>
        <v>0</v>
      </c>
      <c r="W89" s="90">
        <f>$S89*'Y2_3 Cash Flow Assumptions'!G89</f>
        <v>0</v>
      </c>
      <c r="X89" s="90">
        <f>$S89*'Y2_3 Cash Flow Assumptions'!H89</f>
        <v>0</v>
      </c>
      <c r="Y89" s="90">
        <f>$S89*'Y2_3 Cash Flow Assumptions'!I89</f>
        <v>0</v>
      </c>
      <c r="Z89" s="90">
        <f>$S89*'Y2_3 Cash Flow Assumptions'!J89</f>
        <v>0</v>
      </c>
      <c r="AA89" s="90">
        <f>$S89*'Y2_3 Cash Flow Assumptions'!K89</f>
        <v>0</v>
      </c>
      <c r="AB89" s="90">
        <f>$S89*'Y2_3 Cash Flow Assumptions'!L89</f>
        <v>0</v>
      </c>
      <c r="AC89" s="90">
        <f>$S89*'Y2_3 Cash Flow Assumptions'!M89</f>
        <v>0</v>
      </c>
      <c r="AD89" s="90">
        <f>$S89*'Y2_3 Cash Flow Assumptions'!N89</f>
        <v>0</v>
      </c>
      <c r="AE89" s="90">
        <f>$S89*'Y2_3 Cash Flow Assumptions'!O89</f>
        <v>0</v>
      </c>
      <c r="AF89" s="89">
        <f>$S89*'Y2_3 Cash Flow Assumptions'!P89</f>
        <v>0</v>
      </c>
      <c r="AI89" s="89">
        <f>'Budget Summary'!E85</f>
        <v>0</v>
      </c>
      <c r="AJ89" s="89">
        <f>$AI89*'Y2_3 Cash Flow Assumptions'!D89</f>
        <v>0</v>
      </c>
      <c r="AK89" s="89">
        <f>$AI89*'Y2_3 Cash Flow Assumptions'!E89</f>
        <v>0</v>
      </c>
      <c r="AL89" s="89">
        <f>$AI89*'Y2_3 Cash Flow Assumptions'!F89</f>
        <v>0</v>
      </c>
      <c r="AM89" s="89">
        <f>$AI89*'Y2_3 Cash Flow Assumptions'!G89</f>
        <v>0</v>
      </c>
      <c r="AN89" s="89">
        <f>$AI89*'Y2_3 Cash Flow Assumptions'!H89</f>
        <v>0</v>
      </c>
      <c r="AO89" s="89">
        <f>$AI89*'Y2_3 Cash Flow Assumptions'!I89</f>
        <v>0</v>
      </c>
      <c r="AP89" s="89">
        <f>$AI89*'Y2_3 Cash Flow Assumptions'!J89</f>
        <v>0</v>
      </c>
      <c r="AQ89" s="89">
        <f>$AI89*'Y2_3 Cash Flow Assumptions'!K89</f>
        <v>0</v>
      </c>
      <c r="AR89" s="89">
        <f>$AI89*'Y2_3 Cash Flow Assumptions'!L89</f>
        <v>0</v>
      </c>
      <c r="AS89" s="89">
        <f>$AI89*'Y2_3 Cash Flow Assumptions'!M89</f>
        <v>0</v>
      </c>
      <c r="AT89" s="89">
        <f>$AI89*'Y2_3 Cash Flow Assumptions'!N89</f>
        <v>0</v>
      </c>
      <c r="AU89" s="89">
        <f>$AI89*'Y2_3 Cash Flow Assumptions'!O89</f>
        <v>0</v>
      </c>
      <c r="AV89" s="89">
        <f>$AI89*'Y2_3 Cash Flow Assumptions'!P89</f>
        <v>0</v>
      </c>
    </row>
    <row r="90" spans="1:48" outlineLevel="1">
      <c r="A90" s="23"/>
      <c r="B90" s="24" t="s">
        <v>24</v>
      </c>
      <c r="C90" s="89">
        <f>'Budget Summary'!C86</f>
        <v>0</v>
      </c>
      <c r="D90" s="90">
        <f>$C90*'Y1 Cash Flow Assumptions'!D90</f>
        <v>0</v>
      </c>
      <c r="E90" s="90">
        <f>$C90*'Y1 Cash Flow Assumptions'!E90</f>
        <v>0</v>
      </c>
      <c r="F90" s="90">
        <f>$C90*'Y1 Cash Flow Assumptions'!F90</f>
        <v>0</v>
      </c>
      <c r="G90" s="90">
        <f>$C90*'Y1 Cash Flow Assumptions'!G90</f>
        <v>0</v>
      </c>
      <c r="H90" s="90">
        <f>$C90*'Y1 Cash Flow Assumptions'!H90</f>
        <v>0</v>
      </c>
      <c r="I90" s="90">
        <f>$C90*'Y1 Cash Flow Assumptions'!I90</f>
        <v>0</v>
      </c>
      <c r="J90" s="90">
        <f>$C90*'Y1 Cash Flow Assumptions'!J90</f>
        <v>0</v>
      </c>
      <c r="K90" s="90">
        <f>$C90*'Y1 Cash Flow Assumptions'!K90</f>
        <v>0</v>
      </c>
      <c r="L90" s="90">
        <f>$C90*'Y1 Cash Flow Assumptions'!L90</f>
        <v>0</v>
      </c>
      <c r="M90" s="90">
        <f>$C90*'Y1 Cash Flow Assumptions'!M90</f>
        <v>0</v>
      </c>
      <c r="N90" s="90">
        <f>$C90*'Y1 Cash Flow Assumptions'!N90</f>
        <v>0</v>
      </c>
      <c r="O90" s="90">
        <f>$C90*'Y1 Cash Flow Assumptions'!O90</f>
        <v>0</v>
      </c>
      <c r="P90" s="90">
        <f>$C90*'Y1 Cash Flow Assumptions'!P90</f>
        <v>0</v>
      </c>
      <c r="S90" s="89">
        <f>'Budget Summary'!D86</f>
        <v>0</v>
      </c>
      <c r="T90" s="90">
        <f>$S90*'Y2_3 Cash Flow Assumptions'!D90</f>
        <v>0</v>
      </c>
      <c r="U90" s="90">
        <f>$S90*'Y2_3 Cash Flow Assumptions'!E90</f>
        <v>0</v>
      </c>
      <c r="V90" s="90">
        <f>$S90*'Y2_3 Cash Flow Assumptions'!F90</f>
        <v>0</v>
      </c>
      <c r="W90" s="90">
        <f>$S90*'Y2_3 Cash Flow Assumptions'!G90</f>
        <v>0</v>
      </c>
      <c r="X90" s="90">
        <f>$S90*'Y2_3 Cash Flow Assumptions'!H90</f>
        <v>0</v>
      </c>
      <c r="Y90" s="90">
        <f>$S90*'Y2_3 Cash Flow Assumptions'!I90</f>
        <v>0</v>
      </c>
      <c r="Z90" s="90">
        <f>$S90*'Y2_3 Cash Flow Assumptions'!J90</f>
        <v>0</v>
      </c>
      <c r="AA90" s="90">
        <f>$S90*'Y2_3 Cash Flow Assumptions'!K90</f>
        <v>0</v>
      </c>
      <c r="AB90" s="90">
        <f>$S90*'Y2_3 Cash Flow Assumptions'!L90</f>
        <v>0</v>
      </c>
      <c r="AC90" s="90">
        <f>$S90*'Y2_3 Cash Flow Assumptions'!M90</f>
        <v>0</v>
      </c>
      <c r="AD90" s="90">
        <f>$S90*'Y2_3 Cash Flow Assumptions'!N90</f>
        <v>0</v>
      </c>
      <c r="AE90" s="90">
        <f>$S90*'Y2_3 Cash Flow Assumptions'!O90</f>
        <v>0</v>
      </c>
      <c r="AF90" s="89">
        <f>$S90*'Y2_3 Cash Flow Assumptions'!P90</f>
        <v>0</v>
      </c>
      <c r="AI90" s="89">
        <f>'Budget Summary'!E86</f>
        <v>0</v>
      </c>
      <c r="AJ90" s="89">
        <f>$AI90*'Y2_3 Cash Flow Assumptions'!D90</f>
        <v>0</v>
      </c>
      <c r="AK90" s="89">
        <f>$AI90*'Y2_3 Cash Flow Assumptions'!E90</f>
        <v>0</v>
      </c>
      <c r="AL90" s="89">
        <f>$AI90*'Y2_3 Cash Flow Assumptions'!F90</f>
        <v>0</v>
      </c>
      <c r="AM90" s="89">
        <f>$AI90*'Y2_3 Cash Flow Assumptions'!G90</f>
        <v>0</v>
      </c>
      <c r="AN90" s="89">
        <f>$AI90*'Y2_3 Cash Flow Assumptions'!H90</f>
        <v>0</v>
      </c>
      <c r="AO90" s="89">
        <f>$AI90*'Y2_3 Cash Flow Assumptions'!I90</f>
        <v>0</v>
      </c>
      <c r="AP90" s="89">
        <f>$AI90*'Y2_3 Cash Flow Assumptions'!J90</f>
        <v>0</v>
      </c>
      <c r="AQ90" s="89">
        <f>$AI90*'Y2_3 Cash Flow Assumptions'!K90</f>
        <v>0</v>
      </c>
      <c r="AR90" s="89">
        <f>$AI90*'Y2_3 Cash Flow Assumptions'!L90</f>
        <v>0</v>
      </c>
      <c r="AS90" s="89">
        <f>$AI90*'Y2_3 Cash Flow Assumptions'!M90</f>
        <v>0</v>
      </c>
      <c r="AT90" s="89">
        <f>$AI90*'Y2_3 Cash Flow Assumptions'!N90</f>
        <v>0</v>
      </c>
      <c r="AU90" s="89">
        <f>$AI90*'Y2_3 Cash Flow Assumptions'!O90</f>
        <v>0</v>
      </c>
      <c r="AV90" s="89">
        <f>$AI90*'Y2_3 Cash Flow Assumptions'!P90</f>
        <v>0</v>
      </c>
    </row>
    <row r="91" spans="1:48" outlineLevel="1">
      <c r="A91" s="23"/>
      <c r="B91" s="24" t="s">
        <v>272</v>
      </c>
      <c r="C91" s="89">
        <f>'Budget Summary'!C87</f>
        <v>0</v>
      </c>
      <c r="D91" s="90">
        <f>$C91*'Y1 Cash Flow Assumptions'!D91</f>
        <v>0</v>
      </c>
      <c r="E91" s="90">
        <f>$C91*'Y1 Cash Flow Assumptions'!E91</f>
        <v>0</v>
      </c>
      <c r="F91" s="90">
        <f>$C91*'Y1 Cash Flow Assumptions'!F91</f>
        <v>0</v>
      </c>
      <c r="G91" s="90">
        <f>$C91*'Y1 Cash Flow Assumptions'!G91</f>
        <v>0</v>
      </c>
      <c r="H91" s="90">
        <f>$C91*'Y1 Cash Flow Assumptions'!H91</f>
        <v>0</v>
      </c>
      <c r="I91" s="90">
        <f>$C91*'Y1 Cash Flow Assumptions'!I91</f>
        <v>0</v>
      </c>
      <c r="J91" s="90">
        <f>$C91*'Y1 Cash Flow Assumptions'!J91</f>
        <v>0</v>
      </c>
      <c r="K91" s="90">
        <f>$C91*'Y1 Cash Flow Assumptions'!K91</f>
        <v>0</v>
      </c>
      <c r="L91" s="90">
        <f>$C91*'Y1 Cash Flow Assumptions'!L91</f>
        <v>0</v>
      </c>
      <c r="M91" s="90">
        <f>$C91*'Y1 Cash Flow Assumptions'!M91</f>
        <v>0</v>
      </c>
      <c r="N91" s="90">
        <f>$C91*'Y1 Cash Flow Assumptions'!N91</f>
        <v>0</v>
      </c>
      <c r="O91" s="90">
        <f>$C91*'Y1 Cash Flow Assumptions'!O91</f>
        <v>0</v>
      </c>
      <c r="P91" s="90">
        <f>$C91*'Y1 Cash Flow Assumptions'!P91</f>
        <v>0</v>
      </c>
      <c r="S91" s="89">
        <f>'Budget Summary'!D87</f>
        <v>0</v>
      </c>
      <c r="T91" s="90">
        <f>$S91*'Y2_3 Cash Flow Assumptions'!D91</f>
        <v>0</v>
      </c>
      <c r="U91" s="90">
        <f>$S91*'Y2_3 Cash Flow Assumptions'!E91</f>
        <v>0</v>
      </c>
      <c r="V91" s="90">
        <f>$S91*'Y2_3 Cash Flow Assumptions'!F91</f>
        <v>0</v>
      </c>
      <c r="W91" s="90">
        <f>$S91*'Y2_3 Cash Flow Assumptions'!G91</f>
        <v>0</v>
      </c>
      <c r="X91" s="90">
        <f>$S91*'Y2_3 Cash Flow Assumptions'!H91</f>
        <v>0</v>
      </c>
      <c r="Y91" s="90">
        <f>$S91*'Y2_3 Cash Flow Assumptions'!I91</f>
        <v>0</v>
      </c>
      <c r="Z91" s="90">
        <f>$S91*'Y2_3 Cash Flow Assumptions'!J91</f>
        <v>0</v>
      </c>
      <c r="AA91" s="90">
        <f>$S91*'Y2_3 Cash Flow Assumptions'!K91</f>
        <v>0</v>
      </c>
      <c r="AB91" s="90">
        <f>$S91*'Y2_3 Cash Flow Assumptions'!L91</f>
        <v>0</v>
      </c>
      <c r="AC91" s="90">
        <f>$S91*'Y2_3 Cash Flow Assumptions'!M91</f>
        <v>0</v>
      </c>
      <c r="AD91" s="90">
        <f>$S91*'Y2_3 Cash Flow Assumptions'!N91</f>
        <v>0</v>
      </c>
      <c r="AE91" s="90">
        <f>$S91*'Y2_3 Cash Flow Assumptions'!O91</f>
        <v>0</v>
      </c>
      <c r="AF91" s="89">
        <f>$S91*'Y2_3 Cash Flow Assumptions'!P91</f>
        <v>0</v>
      </c>
      <c r="AI91" s="89">
        <f>'Budget Summary'!E87</f>
        <v>0</v>
      </c>
      <c r="AJ91" s="89">
        <f>$AI91*'Y2_3 Cash Flow Assumptions'!D91</f>
        <v>0</v>
      </c>
      <c r="AK91" s="89">
        <f>$AI91*'Y2_3 Cash Flow Assumptions'!E91</f>
        <v>0</v>
      </c>
      <c r="AL91" s="89">
        <f>$AI91*'Y2_3 Cash Flow Assumptions'!F91</f>
        <v>0</v>
      </c>
      <c r="AM91" s="89">
        <f>$AI91*'Y2_3 Cash Flow Assumptions'!G91</f>
        <v>0</v>
      </c>
      <c r="AN91" s="89">
        <f>$AI91*'Y2_3 Cash Flow Assumptions'!H91</f>
        <v>0</v>
      </c>
      <c r="AO91" s="89">
        <f>$AI91*'Y2_3 Cash Flow Assumptions'!I91</f>
        <v>0</v>
      </c>
      <c r="AP91" s="89">
        <f>$AI91*'Y2_3 Cash Flow Assumptions'!J91</f>
        <v>0</v>
      </c>
      <c r="AQ91" s="89">
        <f>$AI91*'Y2_3 Cash Flow Assumptions'!K91</f>
        <v>0</v>
      </c>
      <c r="AR91" s="89">
        <f>$AI91*'Y2_3 Cash Flow Assumptions'!L91</f>
        <v>0</v>
      </c>
      <c r="AS91" s="89">
        <f>$AI91*'Y2_3 Cash Flow Assumptions'!M91</f>
        <v>0</v>
      </c>
      <c r="AT91" s="89">
        <f>$AI91*'Y2_3 Cash Flow Assumptions'!N91</f>
        <v>0</v>
      </c>
      <c r="AU91" s="89">
        <f>$AI91*'Y2_3 Cash Flow Assumptions'!O91</f>
        <v>0</v>
      </c>
      <c r="AV91" s="89">
        <f>$AI91*'Y2_3 Cash Flow Assumptions'!P91</f>
        <v>0</v>
      </c>
    </row>
    <row r="92" spans="1:48" outlineLevel="1">
      <c r="A92" s="23"/>
      <c r="B92" s="24" t="s">
        <v>73</v>
      </c>
      <c r="C92" s="89">
        <f>'Budget Summary'!C88</f>
        <v>16000</v>
      </c>
      <c r="D92" s="90">
        <f>$C92*'Y1 Cash Flow Assumptions'!D92</f>
        <v>1333.3333333333333</v>
      </c>
      <c r="E92" s="90">
        <f>$C92*'Y1 Cash Flow Assumptions'!E92</f>
        <v>1333.3333333333333</v>
      </c>
      <c r="F92" s="90">
        <f>$C92*'Y1 Cash Flow Assumptions'!F92</f>
        <v>1333.3333333333333</v>
      </c>
      <c r="G92" s="90">
        <f>$C92*'Y1 Cash Flow Assumptions'!G92</f>
        <v>1333.3333333333333</v>
      </c>
      <c r="H92" s="90">
        <f>$C92*'Y1 Cash Flow Assumptions'!H92</f>
        <v>1333.3333333333333</v>
      </c>
      <c r="I92" s="90">
        <f>$C92*'Y1 Cash Flow Assumptions'!I92</f>
        <v>1333.3333333333333</v>
      </c>
      <c r="J92" s="90">
        <f>$C92*'Y1 Cash Flow Assumptions'!J92</f>
        <v>1333.3333333333333</v>
      </c>
      <c r="K92" s="90">
        <f>$C92*'Y1 Cash Flow Assumptions'!K92</f>
        <v>1333.3333333333333</v>
      </c>
      <c r="L92" s="90">
        <f>$C92*'Y1 Cash Flow Assumptions'!L92</f>
        <v>1333.3333333333333</v>
      </c>
      <c r="M92" s="90">
        <f>$C92*'Y1 Cash Flow Assumptions'!M92</f>
        <v>1333.3333333333333</v>
      </c>
      <c r="N92" s="90">
        <f>$C92*'Y1 Cash Flow Assumptions'!N92</f>
        <v>1333.3333333333333</v>
      </c>
      <c r="O92" s="90">
        <f>$C92*'Y1 Cash Flow Assumptions'!O92</f>
        <v>1333.3333333333333</v>
      </c>
      <c r="P92" s="90">
        <f>$C92*'Y1 Cash Flow Assumptions'!P92</f>
        <v>0</v>
      </c>
      <c r="S92" s="89">
        <f>'Budget Summary'!D88</f>
        <v>16000</v>
      </c>
      <c r="T92" s="90">
        <f>$S92*'Y2_3 Cash Flow Assumptions'!D92</f>
        <v>1333.3333333333333</v>
      </c>
      <c r="U92" s="90">
        <f>$S92*'Y2_3 Cash Flow Assumptions'!E92</f>
        <v>1333.3333333333333</v>
      </c>
      <c r="V92" s="90">
        <f>$S92*'Y2_3 Cash Flow Assumptions'!F92</f>
        <v>1333.3333333333333</v>
      </c>
      <c r="W92" s="90">
        <f>$S92*'Y2_3 Cash Flow Assumptions'!G92</f>
        <v>1333.3333333333333</v>
      </c>
      <c r="X92" s="90">
        <f>$S92*'Y2_3 Cash Flow Assumptions'!H92</f>
        <v>1333.3333333333333</v>
      </c>
      <c r="Y92" s="90">
        <f>$S92*'Y2_3 Cash Flow Assumptions'!I92</f>
        <v>1333.3333333333333</v>
      </c>
      <c r="Z92" s="90">
        <f>$S92*'Y2_3 Cash Flow Assumptions'!J92</f>
        <v>1333.3333333333333</v>
      </c>
      <c r="AA92" s="90">
        <f>$S92*'Y2_3 Cash Flow Assumptions'!K92</f>
        <v>1333.3333333333333</v>
      </c>
      <c r="AB92" s="90">
        <f>$S92*'Y2_3 Cash Flow Assumptions'!L92</f>
        <v>1333.3333333333333</v>
      </c>
      <c r="AC92" s="90">
        <f>$S92*'Y2_3 Cash Flow Assumptions'!M92</f>
        <v>1333.3333333333333</v>
      </c>
      <c r="AD92" s="90">
        <f>$S92*'Y2_3 Cash Flow Assumptions'!N92</f>
        <v>1333.3333333333333</v>
      </c>
      <c r="AE92" s="90">
        <f>$S92*'Y2_3 Cash Flow Assumptions'!O92</f>
        <v>1333.3333333333333</v>
      </c>
      <c r="AF92" s="89">
        <f>$S92*'Y2_3 Cash Flow Assumptions'!P92</f>
        <v>0</v>
      </c>
      <c r="AI92" s="89">
        <f>'Budget Summary'!E88</f>
        <v>16000</v>
      </c>
      <c r="AJ92" s="89">
        <f>$AI92*'Y2_3 Cash Flow Assumptions'!D92</f>
        <v>1333.3333333333333</v>
      </c>
      <c r="AK92" s="89">
        <f>$AI92*'Y2_3 Cash Flow Assumptions'!E92</f>
        <v>1333.3333333333333</v>
      </c>
      <c r="AL92" s="89">
        <f>$AI92*'Y2_3 Cash Flow Assumptions'!F92</f>
        <v>1333.3333333333333</v>
      </c>
      <c r="AM92" s="89">
        <f>$AI92*'Y2_3 Cash Flow Assumptions'!G92</f>
        <v>1333.3333333333333</v>
      </c>
      <c r="AN92" s="89">
        <f>$AI92*'Y2_3 Cash Flow Assumptions'!H92</f>
        <v>1333.3333333333333</v>
      </c>
      <c r="AO92" s="89">
        <f>$AI92*'Y2_3 Cash Flow Assumptions'!I92</f>
        <v>1333.3333333333333</v>
      </c>
      <c r="AP92" s="89">
        <f>$AI92*'Y2_3 Cash Flow Assumptions'!J92</f>
        <v>1333.3333333333333</v>
      </c>
      <c r="AQ92" s="89">
        <f>$AI92*'Y2_3 Cash Flow Assumptions'!K92</f>
        <v>1333.3333333333333</v>
      </c>
      <c r="AR92" s="89">
        <f>$AI92*'Y2_3 Cash Flow Assumptions'!L92</f>
        <v>1333.3333333333333</v>
      </c>
      <c r="AS92" s="89">
        <f>$AI92*'Y2_3 Cash Flow Assumptions'!M92</f>
        <v>1333.3333333333333</v>
      </c>
      <c r="AT92" s="89">
        <f>$AI92*'Y2_3 Cash Flow Assumptions'!N92</f>
        <v>1333.3333333333333</v>
      </c>
      <c r="AU92" s="89">
        <f>$AI92*'Y2_3 Cash Flow Assumptions'!O92</f>
        <v>1333.3333333333333</v>
      </c>
      <c r="AV92" s="89">
        <f>$AI92*'Y2_3 Cash Flow Assumptions'!P92</f>
        <v>0</v>
      </c>
    </row>
    <row r="93" spans="1:48" outlineLevel="1">
      <c r="A93" s="23"/>
      <c r="B93" s="24" t="s">
        <v>75</v>
      </c>
      <c r="C93" s="89">
        <f>'Budget Summary'!C89</f>
        <v>6000</v>
      </c>
      <c r="D93" s="90">
        <f>$C93*'Y1 Cash Flow Assumptions'!D93</f>
        <v>0</v>
      </c>
      <c r="E93" s="90">
        <f>$C93*'Y1 Cash Flow Assumptions'!E93</f>
        <v>300</v>
      </c>
      <c r="F93" s="90">
        <f>$C93*'Y1 Cash Flow Assumptions'!F93</f>
        <v>600</v>
      </c>
      <c r="G93" s="90">
        <f>$C93*'Y1 Cash Flow Assumptions'!G93</f>
        <v>600</v>
      </c>
      <c r="H93" s="90">
        <f>$C93*'Y1 Cash Flow Assumptions'!H93</f>
        <v>600</v>
      </c>
      <c r="I93" s="90">
        <f>$C93*'Y1 Cash Flow Assumptions'!I93</f>
        <v>600</v>
      </c>
      <c r="J93" s="90">
        <f>$C93*'Y1 Cash Flow Assumptions'!J93</f>
        <v>600</v>
      </c>
      <c r="K93" s="90">
        <f>$C93*'Y1 Cash Flow Assumptions'!K93</f>
        <v>600</v>
      </c>
      <c r="L93" s="90">
        <f>$C93*'Y1 Cash Flow Assumptions'!L93</f>
        <v>600</v>
      </c>
      <c r="M93" s="90">
        <f>$C93*'Y1 Cash Flow Assumptions'!M93</f>
        <v>600</v>
      </c>
      <c r="N93" s="90">
        <f>$C93*'Y1 Cash Flow Assumptions'!N93</f>
        <v>600</v>
      </c>
      <c r="O93" s="90">
        <f>$C93*'Y1 Cash Flow Assumptions'!O93</f>
        <v>300</v>
      </c>
      <c r="P93" s="90">
        <f>$C93*'Y1 Cash Flow Assumptions'!P93</f>
        <v>0</v>
      </c>
      <c r="S93" s="89">
        <f>'Budget Summary'!D89</f>
        <v>6000</v>
      </c>
      <c r="T93" s="90">
        <f>$S93*'Y2_3 Cash Flow Assumptions'!D93</f>
        <v>0</v>
      </c>
      <c r="U93" s="90">
        <f>$S93*'Y2_3 Cash Flow Assumptions'!E93</f>
        <v>300</v>
      </c>
      <c r="V93" s="90">
        <f>$S93*'Y2_3 Cash Flow Assumptions'!F93</f>
        <v>600</v>
      </c>
      <c r="W93" s="90">
        <f>$S93*'Y2_3 Cash Flow Assumptions'!G93</f>
        <v>600</v>
      </c>
      <c r="X93" s="90">
        <f>$S93*'Y2_3 Cash Flow Assumptions'!H93</f>
        <v>600</v>
      </c>
      <c r="Y93" s="90">
        <f>$S93*'Y2_3 Cash Flow Assumptions'!I93</f>
        <v>600</v>
      </c>
      <c r="Z93" s="90">
        <f>$S93*'Y2_3 Cash Flow Assumptions'!J93</f>
        <v>600</v>
      </c>
      <c r="AA93" s="90">
        <f>$S93*'Y2_3 Cash Flow Assumptions'!K93</f>
        <v>600</v>
      </c>
      <c r="AB93" s="90">
        <f>$S93*'Y2_3 Cash Flow Assumptions'!L93</f>
        <v>600</v>
      </c>
      <c r="AC93" s="90">
        <f>$S93*'Y2_3 Cash Flow Assumptions'!M93</f>
        <v>600</v>
      </c>
      <c r="AD93" s="90">
        <f>$S93*'Y2_3 Cash Flow Assumptions'!N93</f>
        <v>600</v>
      </c>
      <c r="AE93" s="90">
        <f>$S93*'Y2_3 Cash Flow Assumptions'!O93</f>
        <v>300</v>
      </c>
      <c r="AF93" s="89">
        <f>$S93*'Y2_3 Cash Flow Assumptions'!P93</f>
        <v>0</v>
      </c>
      <c r="AI93" s="89">
        <f>'Budget Summary'!E89</f>
        <v>6000</v>
      </c>
      <c r="AJ93" s="89">
        <f>$AI93*'Y2_3 Cash Flow Assumptions'!D93</f>
        <v>0</v>
      </c>
      <c r="AK93" s="89">
        <f>$AI93*'Y2_3 Cash Flow Assumptions'!E93</f>
        <v>300</v>
      </c>
      <c r="AL93" s="89">
        <f>$AI93*'Y2_3 Cash Flow Assumptions'!F93</f>
        <v>600</v>
      </c>
      <c r="AM93" s="89">
        <f>$AI93*'Y2_3 Cash Flow Assumptions'!G93</f>
        <v>600</v>
      </c>
      <c r="AN93" s="89">
        <f>$AI93*'Y2_3 Cash Flow Assumptions'!H93</f>
        <v>600</v>
      </c>
      <c r="AO93" s="89">
        <f>$AI93*'Y2_3 Cash Flow Assumptions'!I93</f>
        <v>600</v>
      </c>
      <c r="AP93" s="89">
        <f>$AI93*'Y2_3 Cash Flow Assumptions'!J93</f>
        <v>600</v>
      </c>
      <c r="AQ93" s="89">
        <f>$AI93*'Y2_3 Cash Flow Assumptions'!K93</f>
        <v>600</v>
      </c>
      <c r="AR93" s="89">
        <f>$AI93*'Y2_3 Cash Flow Assumptions'!L93</f>
        <v>600</v>
      </c>
      <c r="AS93" s="89">
        <f>$AI93*'Y2_3 Cash Flow Assumptions'!M93</f>
        <v>600</v>
      </c>
      <c r="AT93" s="89">
        <f>$AI93*'Y2_3 Cash Flow Assumptions'!N93</f>
        <v>600</v>
      </c>
      <c r="AU93" s="89">
        <f>$AI93*'Y2_3 Cash Flow Assumptions'!O93</f>
        <v>300</v>
      </c>
      <c r="AV93" s="89">
        <f>$AI93*'Y2_3 Cash Flow Assumptions'!P93</f>
        <v>0</v>
      </c>
    </row>
    <row r="94" spans="1:48" outlineLevel="1">
      <c r="A94" s="23"/>
      <c r="B94" s="24" t="s">
        <v>66</v>
      </c>
      <c r="C94" s="89">
        <f>'Budget Summary'!C90</f>
        <v>0</v>
      </c>
      <c r="D94" s="89">
        <f>'Cash Flow Input'!D94</f>
        <v>0</v>
      </c>
      <c r="E94" s="89">
        <f>'Cash Flow Input'!E94</f>
        <v>0</v>
      </c>
      <c r="F94" s="89">
        <f>'Cash Flow Input'!F94</f>
        <v>0</v>
      </c>
      <c r="G94" s="89">
        <f>'Cash Flow Input'!G94</f>
        <v>0</v>
      </c>
      <c r="H94" s="89">
        <f>'Cash Flow Input'!H94</f>
        <v>0</v>
      </c>
      <c r="I94" s="89">
        <f>'Cash Flow Input'!I94</f>
        <v>0</v>
      </c>
      <c r="J94" s="89">
        <f>'Cash Flow Input'!J94</f>
        <v>0</v>
      </c>
      <c r="K94" s="89">
        <f>'Cash Flow Input'!K94</f>
        <v>0</v>
      </c>
      <c r="L94" s="89">
        <f>'Cash Flow Input'!L94</f>
        <v>0</v>
      </c>
      <c r="M94" s="89">
        <f>'Cash Flow Input'!M94</f>
        <v>0</v>
      </c>
      <c r="N94" s="89">
        <f>'Cash Flow Input'!N94</f>
        <v>0</v>
      </c>
      <c r="O94" s="89">
        <f>'Cash Flow Input'!O94</f>
        <v>0</v>
      </c>
      <c r="P94" s="92"/>
      <c r="S94" s="89">
        <f>'Budget Summary'!D90</f>
        <v>0</v>
      </c>
      <c r="T94" s="89">
        <f>'Cash Flow Input'!T94</f>
        <v>0</v>
      </c>
      <c r="U94" s="89">
        <f>'Cash Flow Input'!U94</f>
        <v>0</v>
      </c>
      <c r="V94" s="89">
        <f>'Cash Flow Input'!V94</f>
        <v>0</v>
      </c>
      <c r="W94" s="89">
        <f>'Cash Flow Input'!W94</f>
        <v>0</v>
      </c>
      <c r="X94" s="89">
        <f>'Cash Flow Input'!X94</f>
        <v>0</v>
      </c>
      <c r="Y94" s="89">
        <f>'Cash Flow Input'!Y94</f>
        <v>0</v>
      </c>
      <c r="Z94" s="89">
        <f>'Cash Flow Input'!Z94</f>
        <v>0</v>
      </c>
      <c r="AA94" s="89">
        <f>'Cash Flow Input'!AA94</f>
        <v>0</v>
      </c>
      <c r="AB94" s="89">
        <f>'Cash Flow Input'!AB94</f>
        <v>0</v>
      </c>
      <c r="AC94" s="89">
        <f>'Cash Flow Input'!AC94</f>
        <v>0</v>
      </c>
      <c r="AD94" s="89">
        <f>'Cash Flow Input'!AD94</f>
        <v>0</v>
      </c>
      <c r="AE94" s="89">
        <f>'Cash Flow Input'!AE94</f>
        <v>0</v>
      </c>
      <c r="AF94" s="92"/>
      <c r="AI94" s="89">
        <f>'Budget Summary'!E90</f>
        <v>0</v>
      </c>
      <c r="AJ94" s="89">
        <f>'Cash Flow Input'!AJ94</f>
        <v>0</v>
      </c>
      <c r="AK94" s="89">
        <f>'Cash Flow Input'!AK94</f>
        <v>0</v>
      </c>
      <c r="AL94" s="89">
        <f>'Cash Flow Input'!AL94</f>
        <v>0</v>
      </c>
      <c r="AM94" s="89">
        <f>'Cash Flow Input'!AM94</f>
        <v>0</v>
      </c>
      <c r="AN94" s="89">
        <f>'Cash Flow Input'!AN94</f>
        <v>0</v>
      </c>
      <c r="AO94" s="89">
        <f>'Cash Flow Input'!AO94</f>
        <v>0</v>
      </c>
      <c r="AP94" s="89">
        <f>'Cash Flow Input'!AP94</f>
        <v>0</v>
      </c>
      <c r="AQ94" s="89">
        <f>'Cash Flow Input'!AQ94</f>
        <v>0</v>
      </c>
      <c r="AR94" s="89">
        <f>'Cash Flow Input'!AR94</f>
        <v>0</v>
      </c>
      <c r="AS94" s="89">
        <f>'Cash Flow Input'!AS94</f>
        <v>0</v>
      </c>
      <c r="AT94" s="89">
        <f>'Cash Flow Input'!AT94</f>
        <v>0</v>
      </c>
      <c r="AU94" s="89">
        <f>'Cash Flow Input'!AU94</f>
        <v>0</v>
      </c>
      <c r="AV94" s="92"/>
    </row>
    <row r="95" spans="1:48" outlineLevel="1">
      <c r="A95" s="23"/>
      <c r="B95" s="24" t="s">
        <v>65</v>
      </c>
      <c r="C95" s="89">
        <f>'Budget Summary'!C91</f>
        <v>310758</v>
      </c>
      <c r="D95" s="89">
        <f>$C95*'Y1 Cash Flow Assumptions'!D95</f>
        <v>0</v>
      </c>
      <c r="E95" s="89">
        <f>$C95*'Y1 Cash Flow Assumptions'!E95</f>
        <v>0</v>
      </c>
      <c r="F95" s="89">
        <f>$C95*'Y1 Cash Flow Assumptions'!F95</f>
        <v>0</v>
      </c>
      <c r="G95" s="89">
        <f>$C95*'Y1 Cash Flow Assumptions'!G95</f>
        <v>80797.08</v>
      </c>
      <c r="H95" s="89">
        <f>$C95*'Y1 Cash Flow Assumptions'!H95</f>
        <v>24860.639999999999</v>
      </c>
      <c r="I95" s="89">
        <f>$C95*'Y1 Cash Flow Assumptions'!I95</f>
        <v>24860.639999999999</v>
      </c>
      <c r="J95" s="89">
        <f>$C95*'Y1 Cash Flow Assumptions'!J95</f>
        <v>24860.639999999999</v>
      </c>
      <c r="K95" s="89">
        <f>$C95*'Y1 Cash Flow Assumptions'!K95</f>
        <v>24860.639999999999</v>
      </c>
      <c r="L95" s="89">
        <f>($C95-SUM($D95:$K95))*'Y1 Cash Flow Assumptions'!L95</f>
        <v>43506.119999999995</v>
      </c>
      <c r="M95" s="89">
        <f>($C95-SUM($D95:$K95))*'Y1 Cash Flow Assumptions'!M95</f>
        <v>21753.059999999998</v>
      </c>
      <c r="N95" s="89">
        <f>($C95-SUM($D95:$K95))*'Y1 Cash Flow Assumptions'!N95</f>
        <v>21753.059999999998</v>
      </c>
      <c r="O95" s="89">
        <f>($C95-SUM($D95:$K95))*'Y1 Cash Flow Assumptions'!O95</f>
        <v>21753.059999999998</v>
      </c>
      <c r="P95" s="89">
        <f>($C95-SUM($D95:$K95))*'Y1 Cash Flow Assumptions'!P95</f>
        <v>21753.059999999998</v>
      </c>
      <c r="S95" s="89">
        <f>'Budget Summary'!D91</f>
        <v>321000</v>
      </c>
      <c r="T95" s="89">
        <f>$C95*'Y2_3 Cash Flow Assumptions'!D95</f>
        <v>0</v>
      </c>
      <c r="U95" s="89">
        <f>$C95*'Y2_3 Cash Flow Assumptions'!E95</f>
        <v>18645.48</v>
      </c>
      <c r="V95" s="89">
        <f>$C95*'Y2_3 Cash Flow Assumptions'!F95</f>
        <v>37290.959999999999</v>
      </c>
      <c r="W95" s="89">
        <f>$C95*'Y2_3 Cash Flow Assumptions'!G95</f>
        <v>24860.639999999999</v>
      </c>
      <c r="X95" s="89">
        <f>$C95*'Y2_3 Cash Flow Assumptions'!H95</f>
        <v>24860.639999999999</v>
      </c>
      <c r="Y95" s="89">
        <f>$C95*'Y2_3 Cash Flow Assumptions'!I95</f>
        <v>24860.639999999999</v>
      </c>
      <c r="Z95" s="89">
        <f>$C95*'Y2_3 Cash Flow Assumptions'!J95</f>
        <v>24860.639999999999</v>
      </c>
      <c r="AA95" s="89">
        <f>$C95*'Y2_3 Cash Flow Assumptions'!K95</f>
        <v>24860.639999999999</v>
      </c>
      <c r="AB95" s="89">
        <f>'Y2_3 Cash Flow Assumptions'!L95*('Cash Flow Summary'!$S95-SUM('Cash Flow Summary'!$T95:$AA95))</f>
        <v>46920.119999999995</v>
      </c>
      <c r="AC95" s="89">
        <f>'Y2_3 Cash Flow Assumptions'!M95*('Cash Flow Summary'!$S95-SUM('Cash Flow Summary'!$T95:$AA95))</f>
        <v>23460.059999999998</v>
      </c>
      <c r="AD95" s="89">
        <f>'Y2_3 Cash Flow Assumptions'!N95*('Cash Flow Summary'!$S95-SUM('Cash Flow Summary'!$T95:$AA95))</f>
        <v>23460.059999999998</v>
      </c>
      <c r="AE95" s="89">
        <f>'Y2_3 Cash Flow Assumptions'!O95*('Cash Flow Summary'!$S95-SUM('Cash Flow Summary'!$T95:$AA95))</f>
        <v>23460.059999999998</v>
      </c>
      <c r="AF95" s="89">
        <f>'Y2_3 Cash Flow Assumptions'!P95*('Cash Flow Summary'!$S95-SUM('Cash Flow Summary'!$T95:$AA95))</f>
        <v>23460.059999999998</v>
      </c>
      <c r="AI95" s="89">
        <f>'Budget Summary'!E91</f>
        <v>342000</v>
      </c>
      <c r="AJ95" s="89">
        <f>$S95*'Y2_3 Cash Flow Assumptions'!D95</f>
        <v>0</v>
      </c>
      <c r="AK95" s="89">
        <f>$S95*'Y2_3 Cash Flow Assumptions'!E95</f>
        <v>19260</v>
      </c>
      <c r="AL95" s="89">
        <f>$S95*'Y2_3 Cash Flow Assumptions'!F95</f>
        <v>38520</v>
      </c>
      <c r="AM95" s="89">
        <f>$S95*'Y2_3 Cash Flow Assumptions'!G95</f>
        <v>25680</v>
      </c>
      <c r="AN95" s="89">
        <f>$S95*'Y2_3 Cash Flow Assumptions'!H95</f>
        <v>25680</v>
      </c>
      <c r="AO95" s="89">
        <f>$S95*'Y2_3 Cash Flow Assumptions'!I95</f>
        <v>25680</v>
      </c>
      <c r="AP95" s="89">
        <f>$S95*'Y2_3 Cash Flow Assumptions'!J95</f>
        <v>25680</v>
      </c>
      <c r="AQ95" s="89">
        <f>$S95*'Y2_3 Cash Flow Assumptions'!K95</f>
        <v>25680</v>
      </c>
      <c r="AR95" s="90">
        <f>'Y2_3 Cash Flow Assumptions'!L95*('Cash Flow Summary'!$AI95-SUM('Cash Flow Summary'!$AJ95:$AQ95))</f>
        <v>51940</v>
      </c>
      <c r="AS95" s="90">
        <f>'Y2_3 Cash Flow Assumptions'!M95*('Cash Flow Summary'!$AI95-SUM('Cash Flow Summary'!$AJ95:$AQ95))</f>
        <v>25970</v>
      </c>
      <c r="AT95" s="90">
        <f>'Y2_3 Cash Flow Assumptions'!N95*('Cash Flow Summary'!$AI95-SUM('Cash Flow Summary'!$AJ95:$AQ95))</f>
        <v>25970</v>
      </c>
      <c r="AU95" s="90">
        <f>'Y2_3 Cash Flow Assumptions'!O95*('Cash Flow Summary'!$AI95-SUM('Cash Flow Summary'!$AJ95:$AQ95))</f>
        <v>25970</v>
      </c>
      <c r="AV95" s="90">
        <f>'Y2_3 Cash Flow Assumptions'!P95*('Cash Flow Summary'!$AI95-SUM('Cash Flow Summary'!$AJ95:$AQ95))</f>
        <v>25970</v>
      </c>
    </row>
    <row r="96" spans="1:48" outlineLevel="1">
      <c r="A96" s="23"/>
      <c r="B96" s="24" t="s">
        <v>67</v>
      </c>
      <c r="C96" s="89">
        <f>'Budget Summary'!C92</f>
        <v>6000</v>
      </c>
      <c r="D96" s="89">
        <f>$C96*'Y1 Cash Flow Assumptions'!D96</f>
        <v>500</v>
      </c>
      <c r="E96" s="89">
        <f>$C96*'Y1 Cash Flow Assumptions'!E96</f>
        <v>500</v>
      </c>
      <c r="F96" s="89">
        <f>$C96*'Y1 Cash Flow Assumptions'!F96</f>
        <v>500</v>
      </c>
      <c r="G96" s="89">
        <f>$C96*'Y1 Cash Flow Assumptions'!G96</f>
        <v>500</v>
      </c>
      <c r="H96" s="89">
        <f>$C96*'Y1 Cash Flow Assumptions'!H96</f>
        <v>500</v>
      </c>
      <c r="I96" s="89">
        <f>$C96*'Y1 Cash Flow Assumptions'!I96</f>
        <v>500</v>
      </c>
      <c r="J96" s="89">
        <f>$C96*'Y1 Cash Flow Assumptions'!J96</f>
        <v>500</v>
      </c>
      <c r="K96" s="89">
        <f>$C96*'Y1 Cash Flow Assumptions'!K96</f>
        <v>500</v>
      </c>
      <c r="L96" s="89">
        <f>$C96*'Y1 Cash Flow Assumptions'!L96</f>
        <v>500</v>
      </c>
      <c r="M96" s="89">
        <f>$C96*'Y1 Cash Flow Assumptions'!M96</f>
        <v>500</v>
      </c>
      <c r="N96" s="89">
        <f>$C96*'Y1 Cash Flow Assumptions'!N96</f>
        <v>500</v>
      </c>
      <c r="O96" s="89">
        <f>$C96*'Y1 Cash Flow Assumptions'!O96</f>
        <v>500</v>
      </c>
      <c r="P96" s="89">
        <f>$C96*'Y1 Cash Flow Assumptions'!P96</f>
        <v>0</v>
      </c>
      <c r="S96" s="89">
        <f>'Budget Summary'!D92</f>
        <v>6000</v>
      </c>
      <c r="T96" s="89">
        <f>$S96*'Y2_3 Cash Flow Assumptions'!D96</f>
        <v>500</v>
      </c>
      <c r="U96" s="89">
        <f>$S96*'Y2_3 Cash Flow Assumptions'!E96</f>
        <v>500</v>
      </c>
      <c r="V96" s="89">
        <f>$S96*'Y2_3 Cash Flow Assumptions'!F96</f>
        <v>500</v>
      </c>
      <c r="W96" s="89">
        <f>$S96*'Y2_3 Cash Flow Assumptions'!G96</f>
        <v>500</v>
      </c>
      <c r="X96" s="89">
        <f>$S96*'Y2_3 Cash Flow Assumptions'!H96</f>
        <v>500</v>
      </c>
      <c r="Y96" s="89">
        <f>$S96*'Y2_3 Cash Flow Assumptions'!I96</f>
        <v>500</v>
      </c>
      <c r="Z96" s="89">
        <f>$S96*'Y2_3 Cash Flow Assumptions'!J96</f>
        <v>500</v>
      </c>
      <c r="AA96" s="89">
        <f>$S96*'Y2_3 Cash Flow Assumptions'!K96</f>
        <v>500</v>
      </c>
      <c r="AB96" s="89">
        <f>$S96*'Y2_3 Cash Flow Assumptions'!L96</f>
        <v>500</v>
      </c>
      <c r="AC96" s="89">
        <f>$S96*'Y2_3 Cash Flow Assumptions'!M96</f>
        <v>500</v>
      </c>
      <c r="AD96" s="89">
        <f>$S96*'Y2_3 Cash Flow Assumptions'!N96</f>
        <v>500</v>
      </c>
      <c r="AE96" s="89">
        <f>$S96*'Y2_3 Cash Flow Assumptions'!O96</f>
        <v>500</v>
      </c>
      <c r="AF96" s="89">
        <f>$S96*'Y2_3 Cash Flow Assumptions'!P96</f>
        <v>0</v>
      </c>
      <c r="AI96" s="89">
        <f>'Budget Summary'!E92</f>
        <v>6000</v>
      </c>
      <c r="AJ96" s="89">
        <f>$AI96*'Y2_3 Cash Flow Assumptions'!D96</f>
        <v>500</v>
      </c>
      <c r="AK96" s="89">
        <f>$AI96*'Y2_3 Cash Flow Assumptions'!E96</f>
        <v>500</v>
      </c>
      <c r="AL96" s="89">
        <f>$AI96*'Y2_3 Cash Flow Assumptions'!F96</f>
        <v>500</v>
      </c>
      <c r="AM96" s="89">
        <f>$AI96*'Y2_3 Cash Flow Assumptions'!G96</f>
        <v>500</v>
      </c>
      <c r="AN96" s="89">
        <f>$AI96*'Y2_3 Cash Flow Assumptions'!H96</f>
        <v>500</v>
      </c>
      <c r="AO96" s="89">
        <f>$AI96*'Y2_3 Cash Flow Assumptions'!I96</f>
        <v>500</v>
      </c>
      <c r="AP96" s="89">
        <f>$AI96*'Y2_3 Cash Flow Assumptions'!J96</f>
        <v>500</v>
      </c>
      <c r="AQ96" s="89">
        <f>$AI96*'Y2_3 Cash Flow Assumptions'!K96</f>
        <v>500</v>
      </c>
      <c r="AR96" s="89">
        <f>$AI96*'Y2_3 Cash Flow Assumptions'!L96</f>
        <v>500</v>
      </c>
      <c r="AS96" s="89">
        <f>$AI96*'Y2_3 Cash Flow Assumptions'!M96</f>
        <v>500</v>
      </c>
      <c r="AT96" s="89">
        <f>$AI96*'Y2_3 Cash Flow Assumptions'!N96</f>
        <v>500</v>
      </c>
      <c r="AU96" s="89">
        <f>$AI96*'Y2_3 Cash Flow Assumptions'!O96</f>
        <v>500</v>
      </c>
      <c r="AV96" s="89">
        <f>$AI96*'Y2_3 Cash Flow Assumptions'!P96</f>
        <v>0</v>
      </c>
    </row>
    <row r="97" spans="1:49" outlineLevel="1">
      <c r="A97" s="23"/>
      <c r="B97" s="24" t="s">
        <v>25</v>
      </c>
      <c r="C97" s="89">
        <f>'Budget Summary'!C93</f>
        <v>89744.239247999983</v>
      </c>
      <c r="D97" s="89">
        <f>$C97*'Y1 Cash Flow Assumptions'!D97</f>
        <v>0</v>
      </c>
      <c r="E97" s="89">
        <f>$C97*'Y1 Cash Flow Assumptions'!E97</f>
        <v>0</v>
      </c>
      <c r="F97" s="89">
        <f>$C97*'Y1 Cash Flow Assumptions'!F97</f>
        <v>0</v>
      </c>
      <c r="G97" s="89">
        <f>$C97*'Y1 Cash Flow Assumptions'!G97</f>
        <v>23333.502204479995</v>
      </c>
      <c r="H97" s="89">
        <f>$C97*'Y1 Cash Flow Assumptions'!H97</f>
        <v>7179.5391398399988</v>
      </c>
      <c r="I97" s="89">
        <f>$C97*'Y1 Cash Flow Assumptions'!I97</f>
        <v>7179.5391398399988</v>
      </c>
      <c r="J97" s="89">
        <f>$C97*'Y1 Cash Flow Assumptions'!J97</f>
        <v>7179.5391398399988</v>
      </c>
      <c r="K97" s="89">
        <f>$C97*'Y1 Cash Flow Assumptions'!K97</f>
        <v>7179.5391398399988</v>
      </c>
      <c r="L97" s="89">
        <f>($C97-SUM($D97:$K97))*'Y1 Cash Flow Assumptions'!L97</f>
        <v>12564.193494720001</v>
      </c>
      <c r="M97" s="89">
        <f>($C97-SUM($D97:$K97))*'Y1 Cash Flow Assumptions'!M97</f>
        <v>6282.0967473600003</v>
      </c>
      <c r="N97" s="89">
        <f>($C97-SUM($D97:$K97))*'Y1 Cash Flow Assumptions'!N97</f>
        <v>6282.0967473600003</v>
      </c>
      <c r="O97" s="89">
        <f>($C97-SUM($D97:$K97))*'Y1 Cash Flow Assumptions'!O97</f>
        <v>6282.0967473600003</v>
      </c>
      <c r="P97" s="89">
        <f>($C97-SUM($D97:$K97))*'Y1 Cash Flow Assumptions'!P97</f>
        <v>6282.0967473600003</v>
      </c>
      <c r="S97" s="89">
        <f>'Budget Summary'!D93</f>
        <v>96750.582695999998</v>
      </c>
      <c r="T97" s="89">
        <f>$C97*'Y2_3 Cash Flow Assumptions'!D97</f>
        <v>0</v>
      </c>
      <c r="U97" s="89">
        <f>$C97*'Y2_3 Cash Flow Assumptions'!E97</f>
        <v>5384.6543548799991</v>
      </c>
      <c r="V97" s="89">
        <f>$C97*'Y2_3 Cash Flow Assumptions'!F97</f>
        <v>10769.308709759998</v>
      </c>
      <c r="W97" s="89">
        <f>$C97*'Y2_3 Cash Flow Assumptions'!G97</f>
        <v>7179.5391398399988</v>
      </c>
      <c r="X97" s="89">
        <f>$C97*'Y2_3 Cash Flow Assumptions'!H97</f>
        <v>7179.5391398399988</v>
      </c>
      <c r="Y97" s="89">
        <f>$C97*'Y2_3 Cash Flow Assumptions'!I97</f>
        <v>7179.5391398399988</v>
      </c>
      <c r="Z97" s="89">
        <f>$C97*'Y2_3 Cash Flow Assumptions'!J97</f>
        <v>7179.5391398399988</v>
      </c>
      <c r="AA97" s="89">
        <f>$C97*'Y2_3 Cash Flow Assumptions'!K97</f>
        <v>7179.5391398399988</v>
      </c>
      <c r="AB97" s="90">
        <f>'Y2_3 Cash Flow Assumptions'!L97*('Cash Flow Summary'!$S97-SUM('Cash Flow Summary'!$T97:$AA97))</f>
        <v>14899.641310720006</v>
      </c>
      <c r="AC97" s="90">
        <f>'Y2_3 Cash Flow Assumptions'!M97*('Cash Flow Summary'!$S97-SUM('Cash Flow Summary'!$T97:$AA97))</f>
        <v>7449.820655360003</v>
      </c>
      <c r="AD97" s="90">
        <f>'Y2_3 Cash Flow Assumptions'!N97*('Cash Flow Summary'!$S97-SUM('Cash Flow Summary'!$T97:$AA97))</f>
        <v>7449.820655360003</v>
      </c>
      <c r="AE97" s="90">
        <f>'Y2_3 Cash Flow Assumptions'!O97*('Cash Flow Summary'!$S97-SUM('Cash Flow Summary'!$T97:$AA97))</f>
        <v>7449.820655360003</v>
      </c>
      <c r="AF97" s="89">
        <f>'Y2_3 Cash Flow Assumptions'!P97*('Cash Flow Summary'!$S97-SUM('Cash Flow Summary'!$T97:$AA97))</f>
        <v>7449.820655360003</v>
      </c>
      <c r="AI97" s="89">
        <f>'Budget Summary'!E93</f>
        <v>105452.81999999999</v>
      </c>
      <c r="AJ97" s="89">
        <f>$S97*'Y2_3 Cash Flow Assumptions'!D97</f>
        <v>0</v>
      </c>
      <c r="AK97" s="89">
        <f>$S97*'Y2_3 Cash Flow Assumptions'!E97</f>
        <v>5805.0349617599995</v>
      </c>
      <c r="AL97" s="89">
        <f>$S97*'Y2_3 Cash Flow Assumptions'!F97</f>
        <v>11610.069923519999</v>
      </c>
      <c r="AM97" s="89">
        <f>$S97*'Y2_3 Cash Flow Assumptions'!G97</f>
        <v>7740.0466156800003</v>
      </c>
      <c r="AN97" s="89">
        <f>$S97*'Y2_3 Cash Flow Assumptions'!H97</f>
        <v>7740.0466156800003</v>
      </c>
      <c r="AO97" s="89">
        <f>$S97*'Y2_3 Cash Flow Assumptions'!I97</f>
        <v>7740.0466156800003</v>
      </c>
      <c r="AP97" s="89">
        <f>$S97*'Y2_3 Cash Flow Assumptions'!J97</f>
        <v>7740.0466156800003</v>
      </c>
      <c r="AQ97" s="89">
        <f>$S97*'Y2_3 Cash Flow Assumptions'!K97</f>
        <v>7740.0466156800003</v>
      </c>
      <c r="AR97" s="90">
        <f>'Y2_3 Cash Flow Assumptions'!L97*('Cash Flow Summary'!$AI97-SUM('Cash Flow Summary'!$AJ97:$AQ97))</f>
        <v>16445.827345439993</v>
      </c>
      <c r="AS97" s="90">
        <f>'Y2_3 Cash Flow Assumptions'!M97*('Cash Flow Summary'!$AI97-SUM('Cash Flow Summary'!$AJ97:$AQ97))</f>
        <v>8222.9136727199966</v>
      </c>
      <c r="AT97" s="90">
        <f>'Y2_3 Cash Flow Assumptions'!N97*('Cash Flow Summary'!$AI97-SUM('Cash Flow Summary'!$AJ97:$AQ97))</f>
        <v>8222.9136727199966</v>
      </c>
      <c r="AU97" s="90">
        <f>'Y2_3 Cash Flow Assumptions'!O97*('Cash Flow Summary'!$AI97-SUM('Cash Flow Summary'!$AJ97:$AQ97))</f>
        <v>8222.9136727199966</v>
      </c>
      <c r="AV97" s="90">
        <f>'Y2_3 Cash Flow Assumptions'!P97*('Cash Flow Summary'!$AI97-SUM('Cash Flow Summary'!$AJ97:$AQ97))</f>
        <v>8222.9136727199966</v>
      </c>
    </row>
    <row r="98" spans="1:49" outlineLevel="1">
      <c r="A98" s="23"/>
      <c r="B98" s="24" t="s">
        <v>68</v>
      </c>
      <c r="C98" s="89">
        <f>'Budget Summary'!C94</f>
        <v>70000</v>
      </c>
      <c r="D98" s="89">
        <f>$C98*'Y1 Cash Flow Assumptions'!D98</f>
        <v>5833.333333333333</v>
      </c>
      <c r="E98" s="89">
        <f>$C98*'Y1 Cash Flow Assumptions'!E98</f>
        <v>5833.333333333333</v>
      </c>
      <c r="F98" s="89">
        <f>$C98*'Y1 Cash Flow Assumptions'!F98</f>
        <v>5833.333333333333</v>
      </c>
      <c r="G98" s="89">
        <f>$C98*'Y1 Cash Flow Assumptions'!G98</f>
        <v>5833.333333333333</v>
      </c>
      <c r="H98" s="89">
        <f>$C98*'Y1 Cash Flow Assumptions'!H98</f>
        <v>5833.333333333333</v>
      </c>
      <c r="I98" s="89">
        <f>$C98*'Y1 Cash Flow Assumptions'!I98</f>
        <v>5833.333333333333</v>
      </c>
      <c r="J98" s="89">
        <f>$C98*'Y1 Cash Flow Assumptions'!J98</f>
        <v>5833.333333333333</v>
      </c>
      <c r="K98" s="89">
        <f>$C98*'Y1 Cash Flow Assumptions'!K98</f>
        <v>5833.333333333333</v>
      </c>
      <c r="L98" s="89">
        <f>$C98*'Y1 Cash Flow Assumptions'!L98</f>
        <v>5833.333333333333</v>
      </c>
      <c r="M98" s="89">
        <f>$C98*'Y1 Cash Flow Assumptions'!M98</f>
        <v>5833.333333333333</v>
      </c>
      <c r="N98" s="89">
        <f>$C98*'Y1 Cash Flow Assumptions'!N98</f>
        <v>5833.333333333333</v>
      </c>
      <c r="O98" s="89">
        <f>$C98*'Y1 Cash Flow Assumptions'!O98</f>
        <v>5833.333333333333</v>
      </c>
      <c r="P98" s="89">
        <f>$C98*'Y1 Cash Flow Assumptions'!P98</f>
        <v>0</v>
      </c>
      <c r="S98" s="89">
        <f>'Budget Summary'!D94</f>
        <v>70000</v>
      </c>
      <c r="T98" s="89">
        <f>$S98*'Y2_3 Cash Flow Assumptions'!D98</f>
        <v>5833.333333333333</v>
      </c>
      <c r="U98" s="89">
        <f>$S98*'Y2_3 Cash Flow Assumptions'!E98</f>
        <v>5833.333333333333</v>
      </c>
      <c r="V98" s="89">
        <f>$S98*'Y2_3 Cash Flow Assumptions'!F98</f>
        <v>5833.333333333333</v>
      </c>
      <c r="W98" s="89">
        <f>$S98*'Y2_3 Cash Flow Assumptions'!G98</f>
        <v>5833.333333333333</v>
      </c>
      <c r="X98" s="89">
        <f>$S98*'Y2_3 Cash Flow Assumptions'!H98</f>
        <v>5833.333333333333</v>
      </c>
      <c r="Y98" s="89">
        <f>$S98*'Y2_3 Cash Flow Assumptions'!I98</f>
        <v>5833.333333333333</v>
      </c>
      <c r="Z98" s="89">
        <f>$S98*'Y2_3 Cash Flow Assumptions'!J98</f>
        <v>5833.333333333333</v>
      </c>
      <c r="AA98" s="89">
        <f>$S98*'Y2_3 Cash Flow Assumptions'!K98</f>
        <v>5833.333333333333</v>
      </c>
      <c r="AB98" s="89">
        <f>$S98*'Y2_3 Cash Flow Assumptions'!L98</f>
        <v>5833.333333333333</v>
      </c>
      <c r="AC98" s="89">
        <f>$S98*'Y2_3 Cash Flow Assumptions'!M98</f>
        <v>5833.333333333333</v>
      </c>
      <c r="AD98" s="89">
        <f>$S98*'Y2_3 Cash Flow Assumptions'!N98</f>
        <v>5833.333333333333</v>
      </c>
      <c r="AE98" s="89">
        <f>$S98*'Y2_3 Cash Flow Assumptions'!O98</f>
        <v>5833.333333333333</v>
      </c>
      <c r="AF98" s="89">
        <f>$S98*'Y2_3 Cash Flow Assumptions'!P98</f>
        <v>0</v>
      </c>
      <c r="AI98" s="89">
        <f>'Budget Summary'!E94</f>
        <v>70000</v>
      </c>
      <c r="AJ98" s="89">
        <f>$AI98*'Y2_3 Cash Flow Assumptions'!D98</f>
        <v>5833.333333333333</v>
      </c>
      <c r="AK98" s="89">
        <f>$AI98*'Y2_3 Cash Flow Assumptions'!E98</f>
        <v>5833.333333333333</v>
      </c>
      <c r="AL98" s="89">
        <f>$AI98*'Y2_3 Cash Flow Assumptions'!F98</f>
        <v>5833.333333333333</v>
      </c>
      <c r="AM98" s="89">
        <f>$AI98*'Y2_3 Cash Flow Assumptions'!G98</f>
        <v>5833.333333333333</v>
      </c>
      <c r="AN98" s="89">
        <f>$AI98*'Y2_3 Cash Flow Assumptions'!H98</f>
        <v>5833.333333333333</v>
      </c>
      <c r="AO98" s="89">
        <f>$AI98*'Y2_3 Cash Flow Assumptions'!I98</f>
        <v>5833.333333333333</v>
      </c>
      <c r="AP98" s="89">
        <f>$AI98*'Y2_3 Cash Flow Assumptions'!J98</f>
        <v>5833.333333333333</v>
      </c>
      <c r="AQ98" s="89">
        <f>$AI98*'Y2_3 Cash Flow Assumptions'!K98</f>
        <v>5833.333333333333</v>
      </c>
      <c r="AR98" s="89">
        <f>$AI98*'Y2_3 Cash Flow Assumptions'!L98</f>
        <v>5833.333333333333</v>
      </c>
      <c r="AS98" s="89">
        <f>$AI98*'Y2_3 Cash Flow Assumptions'!M98</f>
        <v>5833.333333333333</v>
      </c>
      <c r="AT98" s="89">
        <f>$AI98*'Y2_3 Cash Flow Assumptions'!N98</f>
        <v>5833.333333333333</v>
      </c>
      <c r="AU98" s="89">
        <f>$AI98*'Y2_3 Cash Flow Assumptions'!O98</f>
        <v>5833.333333333333</v>
      </c>
      <c r="AV98" s="89">
        <f>$AI98*'Y2_3 Cash Flow Assumptions'!P98</f>
        <v>0</v>
      </c>
    </row>
    <row r="99" spans="1:49">
      <c r="A99" s="23" t="s">
        <v>58</v>
      </c>
      <c r="C99" s="88">
        <f>SUM(C76:C98)</f>
        <v>768402.23924799997</v>
      </c>
      <c r="D99" s="88">
        <f t="shared" ref="D99:P99" si="30">SUM(D76:D98)</f>
        <v>32783.333333333336</v>
      </c>
      <c r="E99" s="88">
        <f t="shared" si="30"/>
        <v>27060.60606060606</v>
      </c>
      <c r="F99" s="88">
        <f t="shared" si="30"/>
        <v>29610.60606060606</v>
      </c>
      <c r="G99" s="88">
        <f t="shared" si="30"/>
        <v>133741.18826508606</v>
      </c>
      <c r="H99" s="88">
        <f t="shared" si="30"/>
        <v>61650.785200446066</v>
      </c>
      <c r="I99" s="88">
        <f t="shared" si="30"/>
        <v>61650.785200446066</v>
      </c>
      <c r="J99" s="88">
        <f t="shared" si="30"/>
        <v>61650.785200446066</v>
      </c>
      <c r="K99" s="88">
        <f t="shared" si="30"/>
        <v>61650.785200446066</v>
      </c>
      <c r="L99" s="88">
        <f t="shared" si="30"/>
        <v>85680.919555326065</v>
      </c>
      <c r="M99" s="88">
        <f t="shared" si="30"/>
        <v>57645.762807966064</v>
      </c>
      <c r="N99" s="88">
        <f t="shared" si="30"/>
        <v>57645.762807966064</v>
      </c>
      <c r="O99" s="88">
        <f t="shared" si="30"/>
        <v>55095.762807966064</v>
      </c>
      <c r="P99" s="88">
        <f t="shared" si="30"/>
        <v>42535.156747360001</v>
      </c>
      <c r="S99" s="88">
        <f>SUM(S76:S98)</f>
        <v>785650.582696</v>
      </c>
      <c r="T99" s="88">
        <f t="shared" ref="T99:AF99" si="31">SUM(T76:T98)</f>
        <v>32783.333333333336</v>
      </c>
      <c r="U99" s="88">
        <f t="shared" si="31"/>
        <v>51090.740415486063</v>
      </c>
      <c r="V99" s="88">
        <f t="shared" si="31"/>
        <v>77670.874770366048</v>
      </c>
      <c r="W99" s="88">
        <f t="shared" si="31"/>
        <v>61650.785200446066</v>
      </c>
      <c r="X99" s="88">
        <f t="shared" si="31"/>
        <v>61650.785200446066</v>
      </c>
      <c r="Y99" s="88">
        <f t="shared" si="31"/>
        <v>61650.785200446066</v>
      </c>
      <c r="Z99" s="88">
        <f t="shared" si="31"/>
        <v>61650.785200446066</v>
      </c>
      <c r="AA99" s="88">
        <f t="shared" si="31"/>
        <v>61650.785200446066</v>
      </c>
      <c r="AB99" s="88">
        <f t="shared" si="31"/>
        <v>91430.367371326065</v>
      </c>
      <c r="AC99" s="88">
        <f t="shared" si="31"/>
        <v>60520.486715966064</v>
      </c>
      <c r="AD99" s="88">
        <f t="shared" si="31"/>
        <v>60520.486715966064</v>
      </c>
      <c r="AE99" s="88">
        <f t="shared" si="31"/>
        <v>57970.486715966064</v>
      </c>
      <c r="AF99" s="88">
        <f t="shared" si="31"/>
        <v>45409.880655360001</v>
      </c>
      <c r="AI99" s="88">
        <f>SUM(AI76:AI98)</f>
        <v>815352.82</v>
      </c>
      <c r="AJ99" s="88">
        <f t="shared" ref="AJ99:AV99" si="32">SUM(AJ76:AJ98)</f>
        <v>32783.333333333336</v>
      </c>
      <c r="AK99" s="88">
        <f t="shared" si="32"/>
        <v>52125.641022366064</v>
      </c>
      <c r="AL99" s="88">
        <f t="shared" si="32"/>
        <v>79740.67598412605</v>
      </c>
      <c r="AM99" s="88">
        <f t="shared" si="32"/>
        <v>63030.652676286067</v>
      </c>
      <c r="AN99" s="88">
        <f t="shared" si="32"/>
        <v>63030.652676286067</v>
      </c>
      <c r="AO99" s="88">
        <f t="shared" si="32"/>
        <v>63030.652676286067</v>
      </c>
      <c r="AP99" s="88">
        <f t="shared" si="32"/>
        <v>63030.652676286067</v>
      </c>
      <c r="AQ99" s="88">
        <f t="shared" si="32"/>
        <v>63030.652676286067</v>
      </c>
      <c r="AR99" s="88">
        <f t="shared" si="32"/>
        <v>97996.433406046053</v>
      </c>
      <c r="AS99" s="88">
        <f t="shared" si="32"/>
        <v>63803.519733326058</v>
      </c>
      <c r="AT99" s="88">
        <f t="shared" si="32"/>
        <v>63803.519733326058</v>
      </c>
      <c r="AU99" s="88">
        <f t="shared" si="32"/>
        <v>61253.519733326058</v>
      </c>
      <c r="AV99" s="88">
        <f t="shared" si="32"/>
        <v>48692.913672719995</v>
      </c>
    </row>
    <row r="100" spans="1:49">
      <c r="A100" s="23" t="s">
        <v>1</v>
      </c>
      <c r="C100" s="88">
        <f>SUM(C47,C55,C66,C74,C99)</f>
        <v>2955165.8232479999</v>
      </c>
      <c r="D100" s="88">
        <f t="shared" ref="D100:P100" si="33">SUM(D47,D55,D66,D74,D99)</f>
        <v>97162.523733333335</v>
      </c>
      <c r="E100" s="88">
        <f t="shared" si="33"/>
        <v>174059.20300606059</v>
      </c>
      <c r="F100" s="88">
        <f t="shared" si="33"/>
        <v>267209.18380606058</v>
      </c>
      <c r="G100" s="88">
        <f t="shared" si="33"/>
        <v>336895.32156609616</v>
      </c>
      <c r="H100" s="88">
        <f t="shared" si="33"/>
        <v>264804.91850145615</v>
      </c>
      <c r="I100" s="88">
        <f t="shared" si="33"/>
        <v>264804.91850145615</v>
      </c>
      <c r="J100" s="88">
        <f t="shared" si="33"/>
        <v>264804.91850145615</v>
      </c>
      <c r="K100" s="88">
        <f t="shared" si="33"/>
        <v>264804.91850145615</v>
      </c>
      <c r="L100" s="88">
        <f t="shared" si="33"/>
        <v>288835.05285633617</v>
      </c>
      <c r="M100" s="88">
        <f t="shared" si="33"/>
        <v>260799.89610897616</v>
      </c>
      <c r="N100" s="88">
        <f t="shared" si="33"/>
        <v>260799.89610897616</v>
      </c>
      <c r="O100" s="88">
        <f t="shared" si="33"/>
        <v>167649.91530897617</v>
      </c>
      <c r="P100" s="88">
        <f t="shared" si="33"/>
        <v>42535.156747360001</v>
      </c>
      <c r="S100" s="88">
        <f>SUM(S47,S55,S66,S74,S99)</f>
        <v>3220067.8758959998</v>
      </c>
      <c r="T100" s="88">
        <f t="shared" ref="T100:AF100" si="34">SUM(T47,T55,T66,T74,T99)</f>
        <v>102037.61021333333</v>
      </c>
      <c r="U100" s="88">
        <f t="shared" si="34"/>
        <v>211828.16311548607</v>
      </c>
      <c r="V100" s="88">
        <f t="shared" si="34"/>
        <v>339191.78265036602</v>
      </c>
      <c r="W100" s="88">
        <f t="shared" si="34"/>
        <v>288727.2486360016</v>
      </c>
      <c r="X100" s="88">
        <f t="shared" si="34"/>
        <v>288727.2486360016</v>
      </c>
      <c r="Y100" s="88">
        <f t="shared" si="34"/>
        <v>288727.2486360016</v>
      </c>
      <c r="Z100" s="88">
        <f t="shared" si="34"/>
        <v>288727.2486360016</v>
      </c>
      <c r="AA100" s="88">
        <f t="shared" si="34"/>
        <v>288727.2486360016</v>
      </c>
      <c r="AB100" s="88">
        <f t="shared" si="34"/>
        <v>318506.8308068816</v>
      </c>
      <c r="AC100" s="88">
        <f t="shared" si="34"/>
        <v>287596.9501515216</v>
      </c>
      <c r="AD100" s="88">
        <f t="shared" si="34"/>
        <v>287596.9501515216</v>
      </c>
      <c r="AE100" s="88">
        <f t="shared" si="34"/>
        <v>184263.46497152164</v>
      </c>
      <c r="AF100" s="88">
        <f t="shared" si="34"/>
        <v>45409.880655360001</v>
      </c>
      <c r="AI100" s="88">
        <f>SUM(AI47,AI55,AI66,AI74,AI99)</f>
        <v>3467705.6139999996</v>
      </c>
      <c r="AJ100" s="88">
        <f t="shared" ref="AJ100:AV100" si="35">SUM(AJ47,AJ55,AJ66,AJ74,AJ99)</f>
        <v>106729.29009733335</v>
      </c>
      <c r="AK100" s="88">
        <f t="shared" si="35"/>
        <v>225065.09693891151</v>
      </c>
      <c r="AL100" s="88">
        <f t="shared" si="35"/>
        <v>362243.77880667144</v>
      </c>
      <c r="AM100" s="88">
        <f t="shared" si="35"/>
        <v>311089.31105438701</v>
      </c>
      <c r="AN100" s="88">
        <f t="shared" si="35"/>
        <v>311089.31105438701</v>
      </c>
      <c r="AO100" s="88">
        <f t="shared" si="35"/>
        <v>311089.31105438701</v>
      </c>
      <c r="AP100" s="88">
        <f t="shared" si="35"/>
        <v>311089.31105438701</v>
      </c>
      <c r="AQ100" s="88">
        <f t="shared" si="35"/>
        <v>311089.31105438701</v>
      </c>
      <c r="AR100" s="88">
        <f t="shared" si="35"/>
        <v>346055.09178414702</v>
      </c>
      <c r="AS100" s="88">
        <f t="shared" si="35"/>
        <v>311862.178111427</v>
      </c>
      <c r="AT100" s="88">
        <f t="shared" si="35"/>
        <v>311862.178111427</v>
      </c>
      <c r="AU100" s="88">
        <f t="shared" si="35"/>
        <v>199748.53120542708</v>
      </c>
      <c r="AV100" s="88">
        <f t="shared" si="35"/>
        <v>48692.913672719995</v>
      </c>
    </row>
    <row r="101" spans="1:49" s="30" customFormat="1">
      <c r="A101" s="85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105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105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101"/>
    </row>
    <row r="102" spans="1:49">
      <c r="A102" s="23" t="s">
        <v>367</v>
      </c>
      <c r="C102" s="92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S102" s="92"/>
      <c r="T102" s="89">
        <f>SUM(P10:P12,P15,(P16/2),P20,P24,(P25/2),P29,(P32/2),P33,P34,P35)</f>
        <v>271696.36841066659</v>
      </c>
      <c r="U102" s="89">
        <f>SUM((P16/2),(P25/2),(P32/2))</f>
        <v>0</v>
      </c>
      <c r="V102" s="89">
        <f>SUM(P17:P19,P21,P28)</f>
        <v>105211.6</v>
      </c>
      <c r="W102" s="89"/>
      <c r="X102" s="89"/>
      <c r="Y102" s="89"/>
      <c r="Z102" s="90">
        <f>P27/2</f>
        <v>34020</v>
      </c>
      <c r="AA102" s="89"/>
      <c r="AB102" s="89"/>
      <c r="AC102" s="90">
        <f>P27/2</f>
        <v>34020</v>
      </c>
      <c r="AD102" s="89"/>
      <c r="AE102" s="89"/>
      <c r="AF102" s="89"/>
      <c r="AI102" s="92"/>
      <c r="AJ102" s="89">
        <f>SUM(AF10:AF12,AF15,(AF16/2),AF20,AF24,(AF25/2),(AF27/2),AF29,(AF32/2),AF33,AF34,AF35)</f>
        <v>335326.05223066662</v>
      </c>
      <c r="AK102" s="89">
        <f>SUM((AF16/2),(AF25/2),(AF32/2))</f>
        <v>0</v>
      </c>
      <c r="AL102" s="89">
        <f>SUM(AF17:AF19,AF21,AF28)</f>
        <v>22357.465</v>
      </c>
      <c r="AM102" s="90">
        <f>AF27/2</f>
        <v>18073.125</v>
      </c>
      <c r="AN102" s="89"/>
      <c r="AO102" s="89"/>
      <c r="AP102" s="90"/>
      <c r="AQ102" s="89"/>
      <c r="AR102" s="89"/>
      <c r="AS102" s="90"/>
      <c r="AT102" s="89"/>
      <c r="AU102" s="89"/>
      <c r="AV102" s="89"/>
    </row>
    <row r="103" spans="1:49">
      <c r="A103" s="23" t="s">
        <v>368</v>
      </c>
      <c r="C103" s="92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S103" s="92"/>
      <c r="T103" s="89">
        <f>P100</f>
        <v>42535.156747360001</v>
      </c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I103" s="92"/>
      <c r="AJ103" s="89">
        <f>AF100</f>
        <v>45409.880655360001</v>
      </c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</row>
    <row r="104" spans="1:49">
      <c r="A104" s="23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</row>
    <row r="105" spans="1:49">
      <c r="A105" s="23" t="s">
        <v>320</v>
      </c>
      <c r="C105" s="82"/>
      <c r="D105" s="88" t="e">
        <f>D6+D37-D100+D102-D103</f>
        <v>#REF!</v>
      </c>
      <c r="E105" s="88" t="e">
        <f t="shared" ref="E105:O105" si="36">E6+E37-E100+E102-E103</f>
        <v>#REF!</v>
      </c>
      <c r="F105" s="88" t="e">
        <f t="shared" si="36"/>
        <v>#REF!</v>
      </c>
      <c r="G105" s="88" t="e">
        <f t="shared" si="36"/>
        <v>#REF!</v>
      </c>
      <c r="H105" s="88" t="e">
        <f t="shared" si="36"/>
        <v>#REF!</v>
      </c>
      <c r="I105" s="88" t="e">
        <f t="shared" si="36"/>
        <v>#REF!</v>
      </c>
      <c r="J105" s="88" t="e">
        <f t="shared" si="36"/>
        <v>#REF!</v>
      </c>
      <c r="K105" s="88" t="e">
        <f t="shared" si="36"/>
        <v>#REF!</v>
      </c>
      <c r="L105" s="88" t="e">
        <f t="shared" si="36"/>
        <v>#REF!</v>
      </c>
      <c r="M105" s="88" t="e">
        <f t="shared" si="36"/>
        <v>#REF!</v>
      </c>
      <c r="N105" s="88" t="e">
        <f t="shared" si="36"/>
        <v>#REF!</v>
      </c>
      <c r="O105" s="88" t="e">
        <f t="shared" si="36"/>
        <v>#REF!</v>
      </c>
      <c r="P105" s="82"/>
      <c r="S105" s="82"/>
      <c r="T105" s="88" t="e">
        <f>T6+T37-T100+T102-T103</f>
        <v>#REF!</v>
      </c>
      <c r="U105" s="88" t="e">
        <f t="shared" ref="U105:AE105" si="37">U6+U37-U100+U102-U103</f>
        <v>#REF!</v>
      </c>
      <c r="V105" s="88" t="e">
        <f t="shared" si="37"/>
        <v>#REF!</v>
      </c>
      <c r="W105" s="88" t="e">
        <f t="shared" si="37"/>
        <v>#REF!</v>
      </c>
      <c r="X105" s="88" t="e">
        <f t="shared" si="37"/>
        <v>#REF!</v>
      </c>
      <c r="Y105" s="88" t="e">
        <f t="shared" si="37"/>
        <v>#REF!</v>
      </c>
      <c r="Z105" s="88" t="e">
        <f t="shared" si="37"/>
        <v>#REF!</v>
      </c>
      <c r="AA105" s="88" t="e">
        <f t="shared" si="37"/>
        <v>#REF!</v>
      </c>
      <c r="AB105" s="88" t="e">
        <f t="shared" si="37"/>
        <v>#REF!</v>
      </c>
      <c r="AC105" s="88" t="e">
        <f t="shared" si="37"/>
        <v>#REF!</v>
      </c>
      <c r="AD105" s="88" t="e">
        <f t="shared" si="37"/>
        <v>#REF!</v>
      </c>
      <c r="AE105" s="88" t="e">
        <f t="shared" si="37"/>
        <v>#REF!</v>
      </c>
      <c r="AF105" s="82"/>
      <c r="AI105" s="82"/>
      <c r="AJ105" s="88" t="e">
        <f>AJ6+AJ37-AJ100+AJ102-AJ103</f>
        <v>#REF!</v>
      </c>
      <c r="AK105" s="88" t="e">
        <f t="shared" ref="AK105:AU105" si="38">AK6+AK37-AK100+AK102-AK103</f>
        <v>#REF!</v>
      </c>
      <c r="AL105" s="88" t="e">
        <f t="shared" si="38"/>
        <v>#REF!</v>
      </c>
      <c r="AM105" s="88" t="e">
        <f t="shared" si="38"/>
        <v>#REF!</v>
      </c>
      <c r="AN105" s="88" t="e">
        <f t="shared" si="38"/>
        <v>#REF!</v>
      </c>
      <c r="AO105" s="88" t="e">
        <f t="shared" si="38"/>
        <v>#REF!</v>
      </c>
      <c r="AP105" s="88" t="e">
        <f t="shared" si="38"/>
        <v>#REF!</v>
      </c>
      <c r="AQ105" s="88" t="e">
        <f t="shared" si="38"/>
        <v>#REF!</v>
      </c>
      <c r="AR105" s="88" t="e">
        <f t="shared" si="38"/>
        <v>#REF!</v>
      </c>
      <c r="AS105" s="88" t="e">
        <f t="shared" si="38"/>
        <v>#REF!</v>
      </c>
      <c r="AT105" s="88" t="e">
        <f t="shared" si="38"/>
        <v>#REF!</v>
      </c>
      <c r="AU105" s="88" t="e">
        <f t="shared" si="38"/>
        <v>#REF!</v>
      </c>
      <c r="AV105" s="82"/>
    </row>
    <row r="106" spans="1:49">
      <c r="A106" s="23"/>
      <c r="B106" s="24" t="s">
        <v>377</v>
      </c>
      <c r="C106" s="82"/>
      <c r="D106" s="93">
        <f>'Cash Flow Input'!D106</f>
        <v>0</v>
      </c>
      <c r="E106" s="93">
        <f>'Cash Flow Input'!E106</f>
        <v>0</v>
      </c>
      <c r="F106" s="93">
        <f>'Cash Flow Input'!F106</f>
        <v>0</v>
      </c>
      <c r="G106" s="93">
        <f>'Cash Flow Input'!G106</f>
        <v>0</v>
      </c>
      <c r="H106" s="93">
        <f>'Cash Flow Input'!H106</f>
        <v>0</v>
      </c>
      <c r="I106" s="93">
        <f>'Cash Flow Input'!I106</f>
        <v>0</v>
      </c>
      <c r="J106" s="93">
        <f>'Cash Flow Input'!J106</f>
        <v>0</v>
      </c>
      <c r="K106" s="93">
        <f>'Cash Flow Input'!K106</f>
        <v>0</v>
      </c>
      <c r="L106" s="93">
        <f>'Cash Flow Input'!L106</f>
        <v>0</v>
      </c>
      <c r="M106" s="93">
        <f>'Cash Flow Input'!M106</f>
        <v>0</v>
      </c>
      <c r="N106" s="93">
        <f>'Cash Flow Input'!N106</f>
        <v>0</v>
      </c>
      <c r="O106" s="93">
        <f>'Cash Flow Input'!O106</f>
        <v>0</v>
      </c>
      <c r="P106" s="82"/>
      <c r="S106" s="82"/>
      <c r="T106" s="93">
        <f>'Cash Flow Input'!T106</f>
        <v>0</v>
      </c>
      <c r="U106" s="93">
        <f>'Cash Flow Input'!U106</f>
        <v>0</v>
      </c>
      <c r="V106" s="93">
        <f>'Cash Flow Input'!V106</f>
        <v>0</v>
      </c>
      <c r="W106" s="93">
        <f>'Cash Flow Input'!W106</f>
        <v>0</v>
      </c>
      <c r="X106" s="93">
        <f>'Cash Flow Input'!X106</f>
        <v>0</v>
      </c>
      <c r="Y106" s="93">
        <f>'Cash Flow Input'!Y106</f>
        <v>0</v>
      </c>
      <c r="Z106" s="93">
        <f>'Cash Flow Input'!Z106</f>
        <v>0</v>
      </c>
      <c r="AA106" s="93">
        <f>'Cash Flow Input'!AA106</f>
        <v>0</v>
      </c>
      <c r="AB106" s="93">
        <f>'Cash Flow Input'!AB106</f>
        <v>0</v>
      </c>
      <c r="AC106" s="93">
        <f>'Cash Flow Input'!AC106</f>
        <v>0</v>
      </c>
      <c r="AD106" s="93">
        <f>'Cash Flow Input'!AD106</f>
        <v>0</v>
      </c>
      <c r="AE106" s="93">
        <f>'Cash Flow Input'!AE106</f>
        <v>0</v>
      </c>
      <c r="AF106" s="82"/>
      <c r="AI106" s="82"/>
      <c r="AJ106" s="93">
        <f>'Cash Flow Input'!AJ106</f>
        <v>0</v>
      </c>
      <c r="AK106" s="93">
        <f>'Cash Flow Input'!AK106</f>
        <v>0</v>
      </c>
      <c r="AL106" s="93">
        <f>'Cash Flow Input'!AL106</f>
        <v>0</v>
      </c>
      <c r="AM106" s="93">
        <f>'Cash Flow Input'!AM106</f>
        <v>0</v>
      </c>
      <c r="AN106" s="93">
        <f>'Cash Flow Input'!AN106</f>
        <v>0</v>
      </c>
      <c r="AO106" s="93">
        <f>'Cash Flow Input'!AO106</f>
        <v>0</v>
      </c>
      <c r="AP106" s="93">
        <f>'Cash Flow Input'!AP106</f>
        <v>0</v>
      </c>
      <c r="AQ106" s="93">
        <f>'Cash Flow Input'!AQ106</f>
        <v>0</v>
      </c>
      <c r="AR106" s="93">
        <f>'Cash Flow Input'!AR106</f>
        <v>0</v>
      </c>
      <c r="AS106" s="93">
        <f>'Cash Flow Input'!AS106</f>
        <v>0</v>
      </c>
      <c r="AT106" s="93">
        <f>'Cash Flow Input'!AT106</f>
        <v>0</v>
      </c>
      <c r="AU106" s="93">
        <f>'Cash Flow Input'!AU106</f>
        <v>0</v>
      </c>
      <c r="AV106" s="82"/>
    </row>
    <row r="107" spans="1:49">
      <c r="B107" s="24" t="s">
        <v>378</v>
      </c>
      <c r="C107" s="81"/>
      <c r="D107" s="93">
        <f>'Cash Flow Input'!D107</f>
        <v>0</v>
      </c>
      <c r="E107" s="93">
        <f>'Cash Flow Input'!E107</f>
        <v>0</v>
      </c>
      <c r="F107" s="93">
        <f>'Cash Flow Input'!F107</f>
        <v>0</v>
      </c>
      <c r="G107" s="93">
        <f>'Cash Flow Input'!G107</f>
        <v>0</v>
      </c>
      <c r="H107" s="93">
        <f>'Cash Flow Input'!H107</f>
        <v>0</v>
      </c>
      <c r="I107" s="93">
        <f>'Cash Flow Input'!I107</f>
        <v>0</v>
      </c>
      <c r="J107" s="93">
        <f>'Cash Flow Input'!J107</f>
        <v>0</v>
      </c>
      <c r="K107" s="93">
        <f>'Cash Flow Input'!K107</f>
        <v>0</v>
      </c>
      <c r="L107" s="93">
        <f>'Cash Flow Input'!L107</f>
        <v>0</v>
      </c>
      <c r="M107" s="93">
        <f>'Cash Flow Input'!M107</f>
        <v>0</v>
      </c>
      <c r="N107" s="93">
        <f>'Cash Flow Input'!N107</f>
        <v>0</v>
      </c>
      <c r="O107" s="93">
        <f>'Cash Flow Input'!O107</f>
        <v>0</v>
      </c>
      <c r="P107" s="81"/>
      <c r="S107" s="81"/>
      <c r="T107" s="93">
        <f>'Cash Flow Input'!T107</f>
        <v>0</v>
      </c>
      <c r="U107" s="93">
        <f>'Cash Flow Input'!U107</f>
        <v>0</v>
      </c>
      <c r="V107" s="93">
        <f>'Cash Flow Input'!V107</f>
        <v>0</v>
      </c>
      <c r="W107" s="93">
        <f>'Cash Flow Input'!W107</f>
        <v>0</v>
      </c>
      <c r="X107" s="93">
        <f>'Cash Flow Input'!X107</f>
        <v>0</v>
      </c>
      <c r="Y107" s="93">
        <f>'Cash Flow Input'!Y107</f>
        <v>0</v>
      </c>
      <c r="Z107" s="93">
        <f>'Cash Flow Input'!Z107</f>
        <v>0</v>
      </c>
      <c r="AA107" s="93">
        <f>'Cash Flow Input'!AA107</f>
        <v>0</v>
      </c>
      <c r="AB107" s="93">
        <f>'Cash Flow Input'!AB107</f>
        <v>0</v>
      </c>
      <c r="AC107" s="93">
        <f>'Cash Flow Input'!AC107</f>
        <v>0</v>
      </c>
      <c r="AD107" s="93">
        <f>'Cash Flow Input'!AD107</f>
        <v>0</v>
      </c>
      <c r="AE107" s="93">
        <f>'Cash Flow Input'!AE107</f>
        <v>0</v>
      </c>
      <c r="AF107" s="81"/>
      <c r="AI107" s="81"/>
      <c r="AJ107" s="93">
        <f>'Cash Flow Input'!AJ107</f>
        <v>0</v>
      </c>
      <c r="AK107" s="93">
        <f>'Cash Flow Input'!AK107</f>
        <v>0</v>
      </c>
      <c r="AL107" s="93">
        <f>'Cash Flow Input'!AL107</f>
        <v>0</v>
      </c>
      <c r="AM107" s="93">
        <f>'Cash Flow Input'!AM107</f>
        <v>0</v>
      </c>
      <c r="AN107" s="93">
        <f>'Cash Flow Input'!AN107</f>
        <v>0</v>
      </c>
      <c r="AO107" s="93">
        <f>'Cash Flow Input'!AO107</f>
        <v>0</v>
      </c>
      <c r="AP107" s="93">
        <f>'Cash Flow Input'!AP107</f>
        <v>0</v>
      </c>
      <c r="AQ107" s="93">
        <f>'Cash Flow Input'!AQ107</f>
        <v>0</v>
      </c>
      <c r="AR107" s="93">
        <f>'Cash Flow Input'!AR107</f>
        <v>0</v>
      </c>
      <c r="AS107" s="93">
        <f>'Cash Flow Input'!AS107</f>
        <v>0</v>
      </c>
      <c r="AT107" s="93">
        <f>'Cash Flow Input'!AT107</f>
        <v>0</v>
      </c>
      <c r="AU107" s="93">
        <f>'Cash Flow Input'!AU107</f>
        <v>0</v>
      </c>
      <c r="AV107" s="81"/>
    </row>
    <row r="108" spans="1:49">
      <c r="A108" s="23" t="s">
        <v>321</v>
      </c>
      <c r="C108" s="82"/>
      <c r="D108" s="88" t="e">
        <f>+D105+D106-D107</f>
        <v>#REF!</v>
      </c>
      <c r="E108" s="88" t="e">
        <f t="shared" ref="E108:O108" si="39">+E105+E106-E107</f>
        <v>#REF!</v>
      </c>
      <c r="F108" s="88" t="e">
        <f t="shared" si="39"/>
        <v>#REF!</v>
      </c>
      <c r="G108" s="88" t="e">
        <f t="shared" si="39"/>
        <v>#REF!</v>
      </c>
      <c r="H108" s="88" t="e">
        <f t="shared" si="39"/>
        <v>#REF!</v>
      </c>
      <c r="I108" s="88" t="e">
        <f t="shared" si="39"/>
        <v>#REF!</v>
      </c>
      <c r="J108" s="88" t="e">
        <f t="shared" si="39"/>
        <v>#REF!</v>
      </c>
      <c r="K108" s="88" t="e">
        <f t="shared" si="39"/>
        <v>#REF!</v>
      </c>
      <c r="L108" s="88" t="e">
        <f t="shared" si="39"/>
        <v>#REF!</v>
      </c>
      <c r="M108" s="88" t="e">
        <f t="shared" si="39"/>
        <v>#REF!</v>
      </c>
      <c r="N108" s="88" t="e">
        <f t="shared" si="39"/>
        <v>#REF!</v>
      </c>
      <c r="O108" s="88" t="e">
        <f t="shared" si="39"/>
        <v>#REF!</v>
      </c>
      <c r="S108" s="82"/>
      <c r="T108" s="88" t="e">
        <f>+T105+T106-T107</f>
        <v>#REF!</v>
      </c>
      <c r="U108" s="88" t="e">
        <f t="shared" ref="U108:AE108" si="40">+U105+U106-U107</f>
        <v>#REF!</v>
      </c>
      <c r="V108" s="88" t="e">
        <f t="shared" si="40"/>
        <v>#REF!</v>
      </c>
      <c r="W108" s="88" t="e">
        <f t="shared" si="40"/>
        <v>#REF!</v>
      </c>
      <c r="X108" s="88" t="e">
        <f t="shared" si="40"/>
        <v>#REF!</v>
      </c>
      <c r="Y108" s="88" t="e">
        <f t="shared" si="40"/>
        <v>#REF!</v>
      </c>
      <c r="Z108" s="88" t="e">
        <f t="shared" si="40"/>
        <v>#REF!</v>
      </c>
      <c r="AA108" s="88" t="e">
        <f t="shared" si="40"/>
        <v>#REF!</v>
      </c>
      <c r="AB108" s="88" t="e">
        <f t="shared" si="40"/>
        <v>#REF!</v>
      </c>
      <c r="AC108" s="88" t="e">
        <f t="shared" si="40"/>
        <v>#REF!</v>
      </c>
      <c r="AD108" s="88" t="e">
        <f t="shared" si="40"/>
        <v>#REF!</v>
      </c>
      <c r="AE108" s="88" t="e">
        <f t="shared" si="40"/>
        <v>#REF!</v>
      </c>
      <c r="AI108" s="82"/>
      <c r="AJ108" s="88" t="e">
        <f>+AJ105+AJ106-AJ107</f>
        <v>#REF!</v>
      </c>
      <c r="AK108" s="88" t="e">
        <f t="shared" ref="AK108:AU108" si="41">+AK105+AK106-AK107</f>
        <v>#REF!</v>
      </c>
      <c r="AL108" s="88" t="e">
        <f t="shared" si="41"/>
        <v>#REF!</v>
      </c>
      <c r="AM108" s="88" t="e">
        <f t="shared" si="41"/>
        <v>#REF!</v>
      </c>
      <c r="AN108" s="88" t="e">
        <f t="shared" si="41"/>
        <v>#REF!</v>
      </c>
      <c r="AO108" s="88" t="e">
        <f t="shared" si="41"/>
        <v>#REF!</v>
      </c>
      <c r="AP108" s="88" t="e">
        <f t="shared" si="41"/>
        <v>#REF!</v>
      </c>
      <c r="AQ108" s="88" t="e">
        <f t="shared" si="41"/>
        <v>#REF!</v>
      </c>
      <c r="AR108" s="88" t="e">
        <f t="shared" si="41"/>
        <v>#REF!</v>
      </c>
      <c r="AS108" s="88" t="e">
        <f t="shared" si="41"/>
        <v>#REF!</v>
      </c>
      <c r="AT108" s="88" t="e">
        <f t="shared" si="41"/>
        <v>#REF!</v>
      </c>
      <c r="AU108" s="88" t="e">
        <f t="shared" si="41"/>
        <v>#REF!</v>
      </c>
    </row>
  </sheetData>
  <mergeCells count="3">
    <mergeCell ref="C3:O3"/>
    <mergeCell ref="S3:AE3"/>
    <mergeCell ref="AI3:AU3"/>
  </mergeCells>
  <conditionalFormatting sqref="D108:O108 D105:O105">
    <cfRule type="cellIs" dxfId="2" priority="3" operator="lessThan">
      <formula>0</formula>
    </cfRule>
  </conditionalFormatting>
  <conditionalFormatting sqref="T108:AE108 T105:AE105">
    <cfRule type="cellIs" dxfId="1" priority="2" operator="lessThan">
      <formula>0</formula>
    </cfRule>
  </conditionalFormatting>
  <conditionalFormatting sqref="AJ108:AU108 AJ105:AU105">
    <cfRule type="cellIs" dxfId="0" priority="1" operator="lessThan">
      <formula>0</formula>
    </cfRule>
  </conditionalFormatting>
  <pageMargins left="0.7" right="0.7" top="0.75" bottom="0.75" header="0.3" footer="0.3"/>
  <pageSetup scale="61" orientation="landscape" r:id="rId1"/>
  <rowBreaks count="1" manualBreakCount="1">
    <brk id="110" max="16383" man="1"/>
  </rowBreaks>
  <colBreaks count="2" manualBreakCount="2">
    <brk id="17" max="1048575" man="1"/>
    <brk id="33" max="10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Q98"/>
  <sheetViews>
    <sheetView zoomScale="150" zoomScaleNormal="80" zoomScalePageLayoutView="80" workbookViewId="0">
      <pane xSplit="1" ySplit="9" topLeftCell="F64" activePane="bottomRight" state="frozen"/>
      <selection pane="topRight" activeCell="B1" sqref="B1"/>
      <selection pane="bottomLeft" activeCell="A4" sqref="A4"/>
      <selection pane="bottomRight" activeCell="F20" sqref="F20"/>
    </sheetView>
  </sheetViews>
  <sheetFormatPr baseColWidth="10" defaultColWidth="8.83203125" defaultRowHeight="14"/>
  <cols>
    <col min="1" max="1" width="42.83203125" style="24" bestFit="1" customWidth="1"/>
    <col min="2" max="3" width="1.5" style="24" customWidth="1"/>
    <col min="4" max="16" width="8.83203125" style="24"/>
    <col min="17" max="17" width="35" style="25" customWidth="1"/>
    <col min="18" max="16384" width="8.83203125" style="24"/>
  </cols>
  <sheetData>
    <row r="1" spans="1:17">
      <c r="A1" s="23" t="s">
        <v>322</v>
      </c>
      <c r="B1" s="23"/>
      <c r="C1" s="23"/>
    </row>
    <row r="2" spans="1:17" ht="13" hidden="1" customHeight="1">
      <c r="A2" s="23"/>
      <c r="B2" s="23"/>
      <c r="C2" s="23"/>
    </row>
    <row r="3" spans="1:17" ht="13" hidden="1" customHeight="1">
      <c r="A3" s="23"/>
      <c r="B3" s="23"/>
      <c r="C3" s="23"/>
    </row>
    <row r="4" spans="1:17" ht="13" hidden="1" customHeight="1">
      <c r="A4" s="23"/>
      <c r="B4" s="23"/>
      <c r="C4" s="23"/>
    </row>
    <row r="5" spans="1:17" ht="13" hidden="1" customHeight="1">
      <c r="A5" s="23"/>
      <c r="B5" s="23"/>
      <c r="C5" s="23"/>
    </row>
    <row r="6" spans="1:17" ht="13" hidden="1" customHeight="1">
      <c r="A6" s="23"/>
      <c r="B6" s="23"/>
      <c r="C6" s="23"/>
    </row>
    <row r="7" spans="1:17" ht="13" customHeight="1">
      <c r="A7" s="23"/>
      <c r="B7" s="23"/>
      <c r="C7" s="23"/>
    </row>
    <row r="8" spans="1:17">
      <c r="A8" s="23"/>
      <c r="B8" s="23"/>
      <c r="C8" s="23"/>
      <c r="D8" s="128" t="s">
        <v>76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22"/>
    </row>
    <row r="9" spans="1:17">
      <c r="A9" s="23"/>
      <c r="B9" s="23"/>
      <c r="C9" s="23"/>
      <c r="D9" s="22" t="s">
        <v>318</v>
      </c>
      <c r="E9" s="22" t="s">
        <v>307</v>
      </c>
      <c r="F9" s="22" t="s">
        <v>308</v>
      </c>
      <c r="G9" s="22" t="s">
        <v>309</v>
      </c>
      <c r="H9" s="22" t="s">
        <v>310</v>
      </c>
      <c r="I9" s="22" t="s">
        <v>311</v>
      </c>
      <c r="J9" s="22" t="s">
        <v>312</v>
      </c>
      <c r="K9" s="22" t="s">
        <v>313</v>
      </c>
      <c r="L9" s="22" t="s">
        <v>314</v>
      </c>
      <c r="M9" s="22" t="s">
        <v>315</v>
      </c>
      <c r="N9" s="22" t="s">
        <v>316</v>
      </c>
      <c r="O9" s="22" t="s">
        <v>317</v>
      </c>
      <c r="P9" s="22" t="s">
        <v>324</v>
      </c>
      <c r="Q9" s="25" t="s">
        <v>82</v>
      </c>
    </row>
    <row r="10" spans="1:17">
      <c r="A10" s="24" t="s">
        <v>3</v>
      </c>
      <c r="D10" s="77">
        <v>0</v>
      </c>
      <c r="E10" s="77">
        <v>0</v>
      </c>
      <c r="F10" s="77">
        <v>0</v>
      </c>
      <c r="G10" s="77">
        <v>0.37</v>
      </c>
      <c r="H10" s="77">
        <v>0</v>
      </c>
      <c r="I10" s="77">
        <v>0</v>
      </c>
      <c r="J10" s="77">
        <v>0.18</v>
      </c>
      <c r="K10" s="77">
        <v>0</v>
      </c>
      <c r="L10" s="77">
        <v>0.2</v>
      </c>
      <c r="M10" s="77">
        <v>0.2</v>
      </c>
      <c r="N10" s="77">
        <v>0.2</v>
      </c>
      <c r="O10" s="77">
        <v>0.2</v>
      </c>
      <c r="P10" s="77">
        <v>0.2</v>
      </c>
      <c r="Q10" s="25" t="s">
        <v>341</v>
      </c>
    </row>
    <row r="11" spans="1:17">
      <c r="A11" s="24" t="s">
        <v>4</v>
      </c>
      <c r="D11" s="77">
        <v>0</v>
      </c>
      <c r="E11" s="77">
        <v>0</v>
      </c>
      <c r="F11" s="77">
        <v>0</v>
      </c>
      <c r="G11" s="77">
        <v>0.25</v>
      </c>
      <c r="H11" s="77">
        <v>0</v>
      </c>
      <c r="I11" s="77">
        <v>0</v>
      </c>
      <c r="J11" s="77">
        <v>0.25</v>
      </c>
      <c r="K11" s="77">
        <v>0</v>
      </c>
      <c r="L11" s="77">
        <v>0</v>
      </c>
      <c r="M11" s="77">
        <v>0.25</v>
      </c>
      <c r="N11" s="77">
        <v>0</v>
      </c>
      <c r="O11" s="77">
        <v>0</v>
      </c>
      <c r="P11" s="77">
        <v>0.25</v>
      </c>
      <c r="Q11" s="25" t="s">
        <v>326</v>
      </c>
    </row>
    <row r="12" spans="1:17">
      <c r="A12" s="24" t="s">
        <v>5</v>
      </c>
      <c r="D12" s="77">
        <v>0</v>
      </c>
      <c r="E12" s="77">
        <v>0</v>
      </c>
      <c r="F12" s="77">
        <v>0</v>
      </c>
      <c r="G12" s="77">
        <v>0.26</v>
      </c>
      <c r="H12" s="77">
        <v>0.08</v>
      </c>
      <c r="I12" s="77">
        <v>0.08</v>
      </c>
      <c r="J12" s="77">
        <v>0.08</v>
      </c>
      <c r="K12" s="77">
        <v>0.08</v>
      </c>
      <c r="L12" s="77">
        <v>0.33333333333333331</v>
      </c>
      <c r="M12" s="77">
        <v>0.16666666666666666</v>
      </c>
      <c r="N12" s="77">
        <v>0.16666666666666666</v>
      </c>
      <c r="O12" s="77">
        <v>0.16666666666666666</v>
      </c>
      <c r="P12" s="77">
        <v>0.16666666666666666</v>
      </c>
      <c r="Q12" s="25" t="s">
        <v>342</v>
      </c>
    </row>
    <row r="13" spans="1:17">
      <c r="A13" s="23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7"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7">
      <c r="A15" s="24" t="s">
        <v>29</v>
      </c>
      <c r="D15" s="77">
        <f>D10</f>
        <v>0</v>
      </c>
      <c r="E15" s="77">
        <f t="shared" ref="E15:P15" si="0">E10</f>
        <v>0</v>
      </c>
      <c r="F15" s="77">
        <f t="shared" si="0"/>
        <v>0</v>
      </c>
      <c r="G15" s="77">
        <f t="shared" si="0"/>
        <v>0.37</v>
      </c>
      <c r="H15" s="77">
        <f t="shared" si="0"/>
        <v>0</v>
      </c>
      <c r="I15" s="77">
        <f t="shared" si="0"/>
        <v>0</v>
      </c>
      <c r="J15" s="77">
        <f t="shared" si="0"/>
        <v>0.18</v>
      </c>
      <c r="K15" s="77">
        <f t="shared" si="0"/>
        <v>0</v>
      </c>
      <c r="L15" s="77">
        <f t="shared" si="0"/>
        <v>0.2</v>
      </c>
      <c r="M15" s="77">
        <f t="shared" si="0"/>
        <v>0.2</v>
      </c>
      <c r="N15" s="77">
        <f t="shared" si="0"/>
        <v>0.2</v>
      </c>
      <c r="O15" s="77">
        <f t="shared" si="0"/>
        <v>0.2</v>
      </c>
      <c r="P15" s="77">
        <f t="shared" si="0"/>
        <v>0.2</v>
      </c>
      <c r="Q15" s="25" t="s">
        <v>327</v>
      </c>
    </row>
    <row r="16" spans="1:17">
      <c r="A16" s="24" t="s">
        <v>30</v>
      </c>
      <c r="D16" s="77">
        <v>0</v>
      </c>
      <c r="E16" s="77">
        <v>0</v>
      </c>
      <c r="F16" s="77">
        <v>0</v>
      </c>
      <c r="G16" s="77">
        <v>0</v>
      </c>
      <c r="H16" s="77">
        <f>1/10</f>
        <v>0.1</v>
      </c>
      <c r="I16" s="77">
        <f>1/10</f>
        <v>0.1</v>
      </c>
      <c r="J16" s="77">
        <f t="shared" ref="J16:O16" si="1">1/10</f>
        <v>0.1</v>
      </c>
      <c r="K16" s="77">
        <f t="shared" si="1"/>
        <v>0.1</v>
      </c>
      <c r="L16" s="77">
        <f t="shared" si="1"/>
        <v>0.1</v>
      </c>
      <c r="M16" s="77">
        <f t="shared" si="1"/>
        <v>0.1</v>
      </c>
      <c r="N16" s="77">
        <f t="shared" si="1"/>
        <v>0.1</v>
      </c>
      <c r="O16" s="77">
        <f t="shared" si="1"/>
        <v>0.1</v>
      </c>
      <c r="P16" s="77">
        <f>1-SUM(H16:O16)</f>
        <v>0.20000000000000007</v>
      </c>
      <c r="Q16" s="25" t="s">
        <v>328</v>
      </c>
    </row>
    <row r="17" spans="1:17">
      <c r="A17" s="24" t="s">
        <v>35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1</v>
      </c>
      <c r="Q17" s="25" t="s">
        <v>334</v>
      </c>
    </row>
    <row r="18" spans="1:17">
      <c r="A18" s="24" t="s">
        <v>36</v>
      </c>
      <c r="D18" s="77">
        <f>D17</f>
        <v>0</v>
      </c>
      <c r="E18" s="77">
        <f t="shared" ref="E18:P18" si="2">E17</f>
        <v>0</v>
      </c>
      <c r="F18" s="77">
        <f t="shared" si="2"/>
        <v>0</v>
      </c>
      <c r="G18" s="77">
        <f t="shared" si="2"/>
        <v>0</v>
      </c>
      <c r="H18" s="77">
        <f t="shared" si="2"/>
        <v>0</v>
      </c>
      <c r="I18" s="77">
        <f t="shared" si="2"/>
        <v>0</v>
      </c>
      <c r="J18" s="77">
        <f t="shared" si="2"/>
        <v>0</v>
      </c>
      <c r="K18" s="77">
        <f t="shared" si="2"/>
        <v>0</v>
      </c>
      <c r="L18" s="77">
        <f t="shared" si="2"/>
        <v>0</v>
      </c>
      <c r="M18" s="77">
        <f t="shared" si="2"/>
        <v>0</v>
      </c>
      <c r="N18" s="77">
        <f t="shared" si="2"/>
        <v>0</v>
      </c>
      <c r="O18" s="77">
        <f t="shared" si="2"/>
        <v>0</v>
      </c>
      <c r="P18" s="77">
        <f t="shared" si="2"/>
        <v>1</v>
      </c>
      <c r="Q18" s="25" t="s">
        <v>335</v>
      </c>
    </row>
    <row r="19" spans="1:17">
      <c r="A19" s="24" t="s">
        <v>37</v>
      </c>
      <c r="D19" s="77">
        <f>D17</f>
        <v>0</v>
      </c>
      <c r="E19" s="77">
        <f t="shared" ref="E19:P19" si="3">E17</f>
        <v>0</v>
      </c>
      <c r="F19" s="77">
        <f t="shared" si="3"/>
        <v>0</v>
      </c>
      <c r="G19" s="77">
        <f t="shared" si="3"/>
        <v>0</v>
      </c>
      <c r="H19" s="77">
        <f t="shared" si="3"/>
        <v>0</v>
      </c>
      <c r="I19" s="77">
        <f t="shared" si="3"/>
        <v>0</v>
      </c>
      <c r="J19" s="77">
        <f t="shared" si="3"/>
        <v>0</v>
      </c>
      <c r="K19" s="77">
        <f t="shared" si="3"/>
        <v>0</v>
      </c>
      <c r="L19" s="77">
        <f t="shared" si="3"/>
        <v>0</v>
      </c>
      <c r="M19" s="77">
        <f t="shared" si="3"/>
        <v>0</v>
      </c>
      <c r="N19" s="77">
        <f t="shared" si="3"/>
        <v>0</v>
      </c>
      <c r="O19" s="77">
        <f t="shared" si="3"/>
        <v>0</v>
      </c>
      <c r="P19" s="77">
        <f t="shared" si="3"/>
        <v>1</v>
      </c>
      <c r="Q19" s="25" t="s">
        <v>336</v>
      </c>
    </row>
    <row r="20" spans="1:17">
      <c r="A20" s="24" t="s">
        <v>38</v>
      </c>
      <c r="D20" s="77">
        <v>0</v>
      </c>
      <c r="E20" s="77">
        <v>0</v>
      </c>
      <c r="F20" s="77">
        <v>0</v>
      </c>
      <c r="G20" s="77">
        <v>0.25</v>
      </c>
      <c r="H20" s="77">
        <v>0</v>
      </c>
      <c r="I20" s="77">
        <v>0</v>
      </c>
      <c r="J20" s="77">
        <v>0.25</v>
      </c>
      <c r="K20" s="77">
        <v>0</v>
      </c>
      <c r="L20" s="77">
        <v>0</v>
      </c>
      <c r="M20" s="77">
        <v>0.25</v>
      </c>
      <c r="N20" s="77">
        <v>0</v>
      </c>
      <c r="O20" s="77">
        <v>0</v>
      </c>
      <c r="P20" s="77">
        <v>0.25</v>
      </c>
      <c r="Q20" s="25" t="s">
        <v>338</v>
      </c>
    </row>
    <row r="21" spans="1:17">
      <c r="A21" s="24" t="s">
        <v>6</v>
      </c>
      <c r="D21" s="77">
        <f>D17</f>
        <v>0</v>
      </c>
      <c r="E21" s="77">
        <f t="shared" ref="E21:P21" si="4">E17</f>
        <v>0</v>
      </c>
      <c r="F21" s="77">
        <f t="shared" si="4"/>
        <v>0</v>
      </c>
      <c r="G21" s="77">
        <f t="shared" si="4"/>
        <v>0</v>
      </c>
      <c r="H21" s="77">
        <f t="shared" si="4"/>
        <v>0</v>
      </c>
      <c r="I21" s="77">
        <f t="shared" si="4"/>
        <v>0</v>
      </c>
      <c r="J21" s="77">
        <f t="shared" si="4"/>
        <v>0</v>
      </c>
      <c r="K21" s="77">
        <f t="shared" si="4"/>
        <v>0</v>
      </c>
      <c r="L21" s="77">
        <f t="shared" si="4"/>
        <v>0</v>
      </c>
      <c r="M21" s="77">
        <f t="shared" si="4"/>
        <v>0</v>
      </c>
      <c r="N21" s="77">
        <f t="shared" si="4"/>
        <v>0</v>
      </c>
      <c r="O21" s="77">
        <f t="shared" si="4"/>
        <v>0</v>
      </c>
      <c r="P21" s="77">
        <f t="shared" si="4"/>
        <v>1</v>
      </c>
      <c r="Q21" s="25" t="s">
        <v>339</v>
      </c>
    </row>
    <row r="22" spans="1:17">
      <c r="A22" s="23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7"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7">
      <c r="A24" s="24" t="s">
        <v>7</v>
      </c>
      <c r="D24" s="77">
        <f>D10</f>
        <v>0</v>
      </c>
      <c r="E24" s="77">
        <f t="shared" ref="E24:P24" si="5">E10</f>
        <v>0</v>
      </c>
      <c r="F24" s="77">
        <f t="shared" si="5"/>
        <v>0</v>
      </c>
      <c r="G24" s="77">
        <f t="shared" si="5"/>
        <v>0.37</v>
      </c>
      <c r="H24" s="77">
        <f t="shared" si="5"/>
        <v>0</v>
      </c>
      <c r="I24" s="77">
        <f t="shared" si="5"/>
        <v>0</v>
      </c>
      <c r="J24" s="77">
        <f t="shared" si="5"/>
        <v>0.18</v>
      </c>
      <c r="K24" s="77">
        <f t="shared" si="5"/>
        <v>0</v>
      </c>
      <c r="L24" s="77">
        <f t="shared" si="5"/>
        <v>0.2</v>
      </c>
      <c r="M24" s="77">
        <f t="shared" si="5"/>
        <v>0.2</v>
      </c>
      <c r="N24" s="77">
        <f t="shared" si="5"/>
        <v>0.2</v>
      </c>
      <c r="O24" s="77">
        <f t="shared" si="5"/>
        <v>0.2</v>
      </c>
      <c r="P24" s="77">
        <f t="shared" si="5"/>
        <v>0.2</v>
      </c>
      <c r="Q24" s="25" t="s">
        <v>327</v>
      </c>
    </row>
    <row r="25" spans="1:17">
      <c r="A25" s="24" t="s">
        <v>31</v>
      </c>
      <c r="D25" s="77">
        <v>0</v>
      </c>
      <c r="E25" s="77">
        <v>0</v>
      </c>
      <c r="F25" s="77">
        <v>0</v>
      </c>
      <c r="G25" s="77">
        <v>0</v>
      </c>
      <c r="H25" s="77">
        <f>1/10</f>
        <v>0.1</v>
      </c>
      <c r="I25" s="77">
        <f>1/10</f>
        <v>0.1</v>
      </c>
      <c r="J25" s="77">
        <f t="shared" ref="J25:O25" si="6">1/10</f>
        <v>0.1</v>
      </c>
      <c r="K25" s="77">
        <f t="shared" si="6"/>
        <v>0.1</v>
      </c>
      <c r="L25" s="77">
        <f t="shared" si="6"/>
        <v>0.1</v>
      </c>
      <c r="M25" s="77">
        <f t="shared" si="6"/>
        <v>0.1</v>
      </c>
      <c r="N25" s="77">
        <f t="shared" si="6"/>
        <v>0.1</v>
      </c>
      <c r="O25" s="77">
        <f t="shared" si="6"/>
        <v>0.1</v>
      </c>
      <c r="P25" s="77">
        <f>1-SUM(H25:O25)</f>
        <v>0.20000000000000007</v>
      </c>
      <c r="Q25" s="25" t="s">
        <v>328</v>
      </c>
    </row>
    <row r="26" spans="1:17">
      <c r="A26" s="24" t="s">
        <v>32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25" t="s">
        <v>340</v>
      </c>
    </row>
    <row r="27" spans="1:17">
      <c r="A27" s="24" t="s">
        <v>33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1</v>
      </c>
      <c r="Q27" s="25" t="s">
        <v>343</v>
      </c>
    </row>
    <row r="28" spans="1:17">
      <c r="A28" s="24" t="s">
        <v>34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0.5</v>
      </c>
      <c r="K28" s="77">
        <v>0</v>
      </c>
      <c r="L28" s="77">
        <v>0</v>
      </c>
      <c r="M28" s="77">
        <v>0.25</v>
      </c>
      <c r="N28" s="77">
        <v>0</v>
      </c>
      <c r="O28" s="77">
        <v>0</v>
      </c>
      <c r="P28" s="77">
        <v>0.25</v>
      </c>
      <c r="Q28" s="25" t="s">
        <v>344</v>
      </c>
    </row>
    <row r="29" spans="1:17">
      <c r="A29" s="24" t="s">
        <v>8</v>
      </c>
      <c r="D29" s="77">
        <f>D10</f>
        <v>0</v>
      </c>
      <c r="E29" s="77">
        <f t="shared" ref="E29:P29" si="7">E10</f>
        <v>0</v>
      </c>
      <c r="F29" s="77">
        <f t="shared" si="7"/>
        <v>0</v>
      </c>
      <c r="G29" s="77">
        <f t="shared" si="7"/>
        <v>0.37</v>
      </c>
      <c r="H29" s="77">
        <f t="shared" si="7"/>
        <v>0</v>
      </c>
      <c r="I29" s="77">
        <f t="shared" si="7"/>
        <v>0</v>
      </c>
      <c r="J29" s="77">
        <f t="shared" si="7"/>
        <v>0.18</v>
      </c>
      <c r="K29" s="77">
        <f t="shared" si="7"/>
        <v>0</v>
      </c>
      <c r="L29" s="77">
        <f t="shared" si="7"/>
        <v>0.2</v>
      </c>
      <c r="M29" s="77">
        <f t="shared" si="7"/>
        <v>0.2</v>
      </c>
      <c r="N29" s="77">
        <f t="shared" si="7"/>
        <v>0.2</v>
      </c>
      <c r="O29" s="77">
        <f t="shared" si="7"/>
        <v>0.2</v>
      </c>
      <c r="P29" s="77">
        <f t="shared" si="7"/>
        <v>0.2</v>
      </c>
      <c r="Q29" s="25" t="s">
        <v>327</v>
      </c>
    </row>
    <row r="30" spans="1:17">
      <c r="A30" s="2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7"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7">
      <c r="A32" s="24" t="s">
        <v>9</v>
      </c>
      <c r="D32" s="77">
        <v>0</v>
      </c>
      <c r="E32" s="77">
        <v>0</v>
      </c>
      <c r="F32" s="77">
        <v>0</v>
      </c>
      <c r="G32" s="77">
        <v>0</v>
      </c>
      <c r="H32" s="77">
        <f>1/10</f>
        <v>0.1</v>
      </c>
      <c r="I32" s="77">
        <f>1/10</f>
        <v>0.1</v>
      </c>
      <c r="J32" s="77">
        <f t="shared" ref="J32:O32" si="8">1/10</f>
        <v>0.1</v>
      </c>
      <c r="K32" s="77">
        <f t="shared" si="8"/>
        <v>0.1</v>
      </c>
      <c r="L32" s="77">
        <f t="shared" si="8"/>
        <v>0.1</v>
      </c>
      <c r="M32" s="77">
        <f t="shared" si="8"/>
        <v>0.1</v>
      </c>
      <c r="N32" s="77">
        <f t="shared" si="8"/>
        <v>0.1</v>
      </c>
      <c r="O32" s="77">
        <f t="shared" si="8"/>
        <v>0.1</v>
      </c>
      <c r="P32" s="77">
        <f>1-SUM(H32:O32)</f>
        <v>0.20000000000000007</v>
      </c>
      <c r="Q32" s="25" t="s">
        <v>328</v>
      </c>
    </row>
    <row r="33" spans="1:17">
      <c r="A33" s="24" t="s">
        <v>11</v>
      </c>
      <c r="D33" s="77">
        <v>0</v>
      </c>
      <c r="E33" s="77">
        <v>0</v>
      </c>
      <c r="F33" s="77">
        <v>0</v>
      </c>
      <c r="G33" s="77">
        <v>0.25</v>
      </c>
      <c r="H33" s="77">
        <v>0</v>
      </c>
      <c r="I33" s="77">
        <v>0</v>
      </c>
      <c r="J33" s="77">
        <v>0.25</v>
      </c>
      <c r="K33" s="77">
        <v>0</v>
      </c>
      <c r="L33" s="77">
        <v>0</v>
      </c>
      <c r="M33" s="77">
        <v>0.25</v>
      </c>
      <c r="N33" s="77">
        <v>0</v>
      </c>
      <c r="O33" s="77">
        <v>0</v>
      </c>
      <c r="P33" s="77">
        <v>0.25</v>
      </c>
      <c r="Q33" s="25" t="s">
        <v>346</v>
      </c>
    </row>
    <row r="34" spans="1:17">
      <c r="A34" s="24" t="s">
        <v>12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f>1/6</f>
        <v>0.16666666666666666</v>
      </c>
      <c r="L34" s="77">
        <f>K34</f>
        <v>0.16666666666666666</v>
      </c>
      <c r="M34" s="77">
        <f t="shared" ref="M34:P35" si="9">L34</f>
        <v>0.16666666666666666</v>
      </c>
      <c r="N34" s="77">
        <f t="shared" si="9"/>
        <v>0.16666666666666666</v>
      </c>
      <c r="O34" s="77">
        <f t="shared" si="9"/>
        <v>0.16666666666666666</v>
      </c>
      <c r="P34" s="77">
        <f t="shared" si="9"/>
        <v>0.16666666666666666</v>
      </c>
      <c r="Q34" s="25" t="s">
        <v>345</v>
      </c>
    </row>
    <row r="35" spans="1:17">
      <c r="A35" s="24" t="s">
        <v>10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f>1/6</f>
        <v>0.16666666666666666</v>
      </c>
      <c r="L35" s="77">
        <f>K35</f>
        <v>0.16666666666666666</v>
      </c>
      <c r="M35" s="77">
        <f t="shared" si="9"/>
        <v>0.16666666666666666</v>
      </c>
      <c r="N35" s="77">
        <f t="shared" si="9"/>
        <v>0.16666666666666666</v>
      </c>
      <c r="O35" s="77">
        <f t="shared" si="9"/>
        <v>0.16666666666666666</v>
      </c>
      <c r="P35" s="77">
        <f t="shared" si="9"/>
        <v>0.16666666666666666</v>
      </c>
      <c r="Q35" s="25" t="s">
        <v>347</v>
      </c>
    </row>
    <row r="36" spans="1:17">
      <c r="A36" s="23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7">
      <c r="A37" s="23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7"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7"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7"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7">
      <c r="A41" s="24" t="s">
        <v>43</v>
      </c>
      <c r="D41" s="77">
        <v>0</v>
      </c>
      <c r="E41" s="77">
        <v>0.05</v>
      </c>
      <c r="F41" s="77">
        <v>0.1</v>
      </c>
      <c r="G41" s="77">
        <v>0.1</v>
      </c>
      <c r="H41" s="77">
        <v>0.1</v>
      </c>
      <c r="I41" s="77">
        <v>0.1</v>
      </c>
      <c r="J41" s="77">
        <v>0.1</v>
      </c>
      <c r="K41" s="77">
        <v>0.1</v>
      </c>
      <c r="L41" s="77">
        <v>0.1</v>
      </c>
      <c r="M41" s="77">
        <v>0.1</v>
      </c>
      <c r="N41" s="77">
        <v>0.1</v>
      </c>
      <c r="O41" s="77">
        <v>0.05</v>
      </c>
      <c r="P41" s="77">
        <v>0</v>
      </c>
      <c r="Q41" s="25" t="s">
        <v>351</v>
      </c>
    </row>
    <row r="42" spans="1:17">
      <c r="A42" s="24" t="s">
        <v>131</v>
      </c>
      <c r="D42" s="77">
        <f>D$41</f>
        <v>0</v>
      </c>
      <c r="E42" s="77">
        <f t="shared" ref="E42:P46" si="10">E$41</f>
        <v>0.05</v>
      </c>
      <c r="F42" s="77">
        <f t="shared" si="10"/>
        <v>0.1</v>
      </c>
      <c r="G42" s="77">
        <f t="shared" si="10"/>
        <v>0.1</v>
      </c>
      <c r="H42" s="77">
        <f t="shared" si="10"/>
        <v>0.1</v>
      </c>
      <c r="I42" s="77">
        <f t="shared" si="10"/>
        <v>0.1</v>
      </c>
      <c r="J42" s="77">
        <f t="shared" si="10"/>
        <v>0.1</v>
      </c>
      <c r="K42" s="77">
        <f t="shared" si="10"/>
        <v>0.1</v>
      </c>
      <c r="L42" s="77">
        <f t="shared" si="10"/>
        <v>0.1</v>
      </c>
      <c r="M42" s="77">
        <f t="shared" si="10"/>
        <v>0.1</v>
      </c>
      <c r="N42" s="77">
        <f t="shared" si="10"/>
        <v>0.1</v>
      </c>
      <c r="O42" s="77">
        <f t="shared" si="10"/>
        <v>0.05</v>
      </c>
      <c r="P42" s="77">
        <f t="shared" si="10"/>
        <v>0</v>
      </c>
    </row>
    <row r="43" spans="1:17">
      <c r="A43" s="24" t="s">
        <v>44</v>
      </c>
      <c r="D43" s="77">
        <f t="shared" ref="D43:D46" si="11">D$41</f>
        <v>0</v>
      </c>
      <c r="E43" s="77">
        <f t="shared" si="10"/>
        <v>0.05</v>
      </c>
      <c r="F43" s="77">
        <f t="shared" si="10"/>
        <v>0.1</v>
      </c>
      <c r="G43" s="77">
        <f t="shared" si="10"/>
        <v>0.1</v>
      </c>
      <c r="H43" s="77">
        <f t="shared" si="10"/>
        <v>0.1</v>
      </c>
      <c r="I43" s="77">
        <f t="shared" si="10"/>
        <v>0.1</v>
      </c>
      <c r="J43" s="77">
        <f t="shared" si="10"/>
        <v>0.1</v>
      </c>
      <c r="K43" s="77">
        <f t="shared" si="10"/>
        <v>0.1</v>
      </c>
      <c r="L43" s="77">
        <f t="shared" si="10"/>
        <v>0.1</v>
      </c>
      <c r="M43" s="77">
        <f t="shared" si="10"/>
        <v>0.1</v>
      </c>
      <c r="N43" s="77">
        <f t="shared" si="10"/>
        <v>0.1</v>
      </c>
      <c r="O43" s="77">
        <f t="shared" si="10"/>
        <v>0.05</v>
      </c>
      <c r="P43" s="77">
        <f t="shared" si="10"/>
        <v>0</v>
      </c>
    </row>
    <row r="44" spans="1:17">
      <c r="A44" s="24" t="s">
        <v>45</v>
      </c>
      <c r="D44" s="77">
        <f t="shared" si="11"/>
        <v>0</v>
      </c>
      <c r="E44" s="77">
        <f t="shared" si="10"/>
        <v>0.05</v>
      </c>
      <c r="F44" s="77">
        <f t="shared" si="10"/>
        <v>0.1</v>
      </c>
      <c r="G44" s="77">
        <f t="shared" si="10"/>
        <v>0.1</v>
      </c>
      <c r="H44" s="77">
        <f t="shared" si="10"/>
        <v>0.1</v>
      </c>
      <c r="I44" s="77">
        <f t="shared" si="10"/>
        <v>0.1</v>
      </c>
      <c r="J44" s="77">
        <f t="shared" si="10"/>
        <v>0.1</v>
      </c>
      <c r="K44" s="77">
        <f t="shared" si="10"/>
        <v>0.1</v>
      </c>
      <c r="L44" s="77">
        <f t="shared" si="10"/>
        <v>0.1</v>
      </c>
      <c r="M44" s="77">
        <f t="shared" si="10"/>
        <v>0.1</v>
      </c>
      <c r="N44" s="77">
        <f t="shared" si="10"/>
        <v>0.1</v>
      </c>
      <c r="O44" s="77">
        <f t="shared" si="10"/>
        <v>0.05</v>
      </c>
      <c r="P44" s="77">
        <f t="shared" si="10"/>
        <v>0</v>
      </c>
    </row>
    <row r="45" spans="1:17">
      <c r="A45" s="24" t="s">
        <v>288</v>
      </c>
      <c r="D45" s="77">
        <f t="shared" si="11"/>
        <v>0</v>
      </c>
      <c r="E45" s="77">
        <f t="shared" si="10"/>
        <v>0.05</v>
      </c>
      <c r="F45" s="77">
        <f t="shared" si="10"/>
        <v>0.1</v>
      </c>
      <c r="G45" s="77">
        <f t="shared" si="10"/>
        <v>0.1</v>
      </c>
      <c r="H45" s="77">
        <f t="shared" si="10"/>
        <v>0.1</v>
      </c>
      <c r="I45" s="77">
        <f t="shared" si="10"/>
        <v>0.1</v>
      </c>
      <c r="J45" s="77">
        <f t="shared" si="10"/>
        <v>0.1</v>
      </c>
      <c r="K45" s="77">
        <f t="shared" si="10"/>
        <v>0.1</v>
      </c>
      <c r="L45" s="77">
        <f t="shared" si="10"/>
        <v>0.1</v>
      </c>
      <c r="M45" s="77">
        <f t="shared" si="10"/>
        <v>0.1</v>
      </c>
      <c r="N45" s="77">
        <f t="shared" si="10"/>
        <v>0.1</v>
      </c>
      <c r="O45" s="77">
        <f t="shared" si="10"/>
        <v>0.05</v>
      </c>
      <c r="P45" s="77">
        <f t="shared" si="10"/>
        <v>0</v>
      </c>
    </row>
    <row r="46" spans="1:17">
      <c r="A46" s="24" t="s">
        <v>13</v>
      </c>
      <c r="D46" s="77">
        <f t="shared" si="11"/>
        <v>0</v>
      </c>
      <c r="E46" s="77">
        <f t="shared" si="10"/>
        <v>0.05</v>
      </c>
      <c r="F46" s="77">
        <f t="shared" si="10"/>
        <v>0.1</v>
      </c>
      <c r="G46" s="77">
        <f t="shared" si="10"/>
        <v>0.1</v>
      </c>
      <c r="H46" s="77">
        <f t="shared" si="10"/>
        <v>0.1</v>
      </c>
      <c r="I46" s="77">
        <f t="shared" si="10"/>
        <v>0.1</v>
      </c>
      <c r="J46" s="77">
        <f t="shared" si="10"/>
        <v>0.1</v>
      </c>
      <c r="K46" s="77">
        <f t="shared" si="10"/>
        <v>0.1</v>
      </c>
      <c r="L46" s="77">
        <f t="shared" si="10"/>
        <v>0.1</v>
      </c>
      <c r="M46" s="77">
        <f t="shared" si="10"/>
        <v>0.1</v>
      </c>
      <c r="N46" s="77">
        <f t="shared" si="10"/>
        <v>0.1</v>
      </c>
      <c r="O46" s="77">
        <f t="shared" si="10"/>
        <v>0.05</v>
      </c>
      <c r="P46" s="77">
        <f t="shared" si="10"/>
        <v>0</v>
      </c>
    </row>
    <row r="47" spans="1:17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7">
      <c r="A49" s="24" t="s">
        <v>47</v>
      </c>
      <c r="D49" s="77">
        <f>D$41</f>
        <v>0</v>
      </c>
      <c r="E49" s="77">
        <f t="shared" ref="E49:P54" si="12">E$41</f>
        <v>0.05</v>
      </c>
      <c r="F49" s="77">
        <f t="shared" si="12"/>
        <v>0.1</v>
      </c>
      <c r="G49" s="77">
        <f t="shared" si="12"/>
        <v>0.1</v>
      </c>
      <c r="H49" s="77">
        <f t="shared" si="12"/>
        <v>0.1</v>
      </c>
      <c r="I49" s="77">
        <f t="shared" si="12"/>
        <v>0.1</v>
      </c>
      <c r="J49" s="77">
        <f t="shared" si="12"/>
        <v>0.1</v>
      </c>
      <c r="K49" s="77">
        <f t="shared" si="12"/>
        <v>0.1</v>
      </c>
      <c r="L49" s="77">
        <f t="shared" si="12"/>
        <v>0.1</v>
      </c>
      <c r="M49" s="77">
        <f t="shared" si="12"/>
        <v>0.1</v>
      </c>
      <c r="N49" s="77">
        <f t="shared" si="12"/>
        <v>0.1</v>
      </c>
      <c r="O49" s="77">
        <f t="shared" si="12"/>
        <v>0.05</v>
      </c>
      <c r="P49" s="77">
        <f t="shared" si="12"/>
        <v>0</v>
      </c>
      <c r="Q49" s="25" t="s">
        <v>351</v>
      </c>
    </row>
    <row r="50" spans="1:17">
      <c r="A50" s="24" t="s">
        <v>14</v>
      </c>
      <c r="D50" s="77">
        <f t="shared" ref="D50:D54" si="13">D$41</f>
        <v>0</v>
      </c>
      <c r="E50" s="77">
        <f t="shared" si="12"/>
        <v>0.05</v>
      </c>
      <c r="F50" s="77">
        <f t="shared" si="12"/>
        <v>0.1</v>
      </c>
      <c r="G50" s="77">
        <f t="shared" si="12"/>
        <v>0.1</v>
      </c>
      <c r="H50" s="77">
        <f t="shared" si="12"/>
        <v>0.1</v>
      </c>
      <c r="I50" s="77">
        <f t="shared" si="12"/>
        <v>0.1</v>
      </c>
      <c r="J50" s="77">
        <f t="shared" si="12"/>
        <v>0.1</v>
      </c>
      <c r="K50" s="77">
        <f t="shared" si="12"/>
        <v>0.1</v>
      </c>
      <c r="L50" s="77">
        <f t="shared" si="12"/>
        <v>0.1</v>
      </c>
      <c r="M50" s="77">
        <f t="shared" si="12"/>
        <v>0.1</v>
      </c>
      <c r="N50" s="77">
        <f t="shared" si="12"/>
        <v>0.1</v>
      </c>
      <c r="O50" s="77">
        <f t="shared" si="12"/>
        <v>0.05</v>
      </c>
      <c r="P50" s="77">
        <f t="shared" si="12"/>
        <v>0</v>
      </c>
    </row>
    <row r="51" spans="1:17">
      <c r="A51" s="24" t="s">
        <v>48</v>
      </c>
      <c r="D51" s="77">
        <f t="shared" si="13"/>
        <v>0</v>
      </c>
      <c r="E51" s="77">
        <f t="shared" si="12"/>
        <v>0.05</v>
      </c>
      <c r="F51" s="77">
        <f t="shared" si="12"/>
        <v>0.1</v>
      </c>
      <c r="G51" s="77">
        <f t="shared" si="12"/>
        <v>0.1</v>
      </c>
      <c r="H51" s="77">
        <f t="shared" si="12"/>
        <v>0.1</v>
      </c>
      <c r="I51" s="77">
        <f t="shared" si="12"/>
        <v>0.1</v>
      </c>
      <c r="J51" s="77">
        <f t="shared" si="12"/>
        <v>0.1</v>
      </c>
      <c r="K51" s="77">
        <f t="shared" si="12"/>
        <v>0.1</v>
      </c>
      <c r="L51" s="77">
        <f t="shared" si="12"/>
        <v>0.1</v>
      </c>
      <c r="M51" s="77">
        <f t="shared" si="12"/>
        <v>0.1</v>
      </c>
      <c r="N51" s="77">
        <f t="shared" si="12"/>
        <v>0.1</v>
      </c>
      <c r="O51" s="77">
        <f t="shared" si="12"/>
        <v>0.05</v>
      </c>
      <c r="P51" s="77">
        <f t="shared" si="12"/>
        <v>0</v>
      </c>
    </row>
    <row r="52" spans="1:17">
      <c r="A52" s="24" t="s">
        <v>49</v>
      </c>
      <c r="D52" s="77">
        <f t="shared" si="13"/>
        <v>0</v>
      </c>
      <c r="E52" s="77">
        <f t="shared" si="12"/>
        <v>0.05</v>
      </c>
      <c r="F52" s="77">
        <f t="shared" si="12"/>
        <v>0.1</v>
      </c>
      <c r="G52" s="77">
        <f t="shared" si="12"/>
        <v>0.1</v>
      </c>
      <c r="H52" s="77">
        <f t="shared" si="12"/>
        <v>0.1</v>
      </c>
      <c r="I52" s="77">
        <f t="shared" si="12"/>
        <v>0.1</v>
      </c>
      <c r="J52" s="77">
        <f t="shared" si="12"/>
        <v>0.1</v>
      </c>
      <c r="K52" s="77">
        <f t="shared" si="12"/>
        <v>0.1</v>
      </c>
      <c r="L52" s="77">
        <f t="shared" si="12"/>
        <v>0.1</v>
      </c>
      <c r="M52" s="77">
        <f t="shared" si="12"/>
        <v>0.1</v>
      </c>
      <c r="N52" s="77">
        <f t="shared" si="12"/>
        <v>0.1</v>
      </c>
      <c r="O52" s="77">
        <f t="shared" si="12"/>
        <v>0.05</v>
      </c>
      <c r="P52" s="77">
        <f t="shared" si="12"/>
        <v>0</v>
      </c>
    </row>
    <row r="53" spans="1:17">
      <c r="A53" s="24" t="s">
        <v>294</v>
      </c>
      <c r="D53" s="77">
        <f t="shared" si="13"/>
        <v>0</v>
      </c>
      <c r="E53" s="77">
        <f t="shared" si="12"/>
        <v>0.05</v>
      </c>
      <c r="F53" s="77">
        <f t="shared" si="12"/>
        <v>0.1</v>
      </c>
      <c r="G53" s="77">
        <f t="shared" si="12"/>
        <v>0.1</v>
      </c>
      <c r="H53" s="77">
        <f t="shared" si="12"/>
        <v>0.1</v>
      </c>
      <c r="I53" s="77">
        <f t="shared" si="12"/>
        <v>0.1</v>
      </c>
      <c r="J53" s="77">
        <f t="shared" si="12"/>
        <v>0.1</v>
      </c>
      <c r="K53" s="77">
        <f t="shared" si="12"/>
        <v>0.1</v>
      </c>
      <c r="L53" s="77">
        <f t="shared" si="12"/>
        <v>0.1</v>
      </c>
      <c r="M53" s="77">
        <f t="shared" si="12"/>
        <v>0.1</v>
      </c>
      <c r="N53" s="77">
        <f t="shared" si="12"/>
        <v>0.1</v>
      </c>
      <c r="O53" s="77">
        <f t="shared" si="12"/>
        <v>0.05</v>
      </c>
      <c r="P53" s="77">
        <f t="shared" si="12"/>
        <v>0</v>
      </c>
    </row>
    <row r="54" spans="1:17">
      <c r="A54" s="24" t="s">
        <v>50</v>
      </c>
      <c r="D54" s="77">
        <f t="shared" si="13"/>
        <v>0</v>
      </c>
      <c r="E54" s="77">
        <f t="shared" si="12"/>
        <v>0.05</v>
      </c>
      <c r="F54" s="77">
        <f t="shared" si="12"/>
        <v>0.1</v>
      </c>
      <c r="G54" s="77">
        <f t="shared" si="12"/>
        <v>0.1</v>
      </c>
      <c r="H54" s="77">
        <f t="shared" si="12"/>
        <v>0.1</v>
      </c>
      <c r="I54" s="77">
        <f t="shared" si="12"/>
        <v>0.1</v>
      </c>
      <c r="J54" s="77">
        <f t="shared" si="12"/>
        <v>0.1</v>
      </c>
      <c r="K54" s="77">
        <f t="shared" si="12"/>
        <v>0.1</v>
      </c>
      <c r="L54" s="77">
        <f t="shared" si="12"/>
        <v>0.1</v>
      </c>
      <c r="M54" s="77">
        <f t="shared" si="12"/>
        <v>0.1</v>
      </c>
      <c r="N54" s="77">
        <f t="shared" si="12"/>
        <v>0.1</v>
      </c>
      <c r="O54" s="77">
        <f t="shared" si="12"/>
        <v>0.05</v>
      </c>
      <c r="P54" s="77">
        <f t="shared" si="12"/>
        <v>0</v>
      </c>
    </row>
    <row r="55" spans="1:17"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7"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7">
      <c r="A57" s="24" t="s">
        <v>15</v>
      </c>
      <c r="D57" s="77">
        <f>D$41</f>
        <v>0</v>
      </c>
      <c r="E57" s="77">
        <f t="shared" ref="E57:P60" si="14">E$41</f>
        <v>0.05</v>
      </c>
      <c r="F57" s="77">
        <f t="shared" si="14"/>
        <v>0.1</v>
      </c>
      <c r="G57" s="77">
        <f t="shared" si="14"/>
        <v>0.1</v>
      </c>
      <c r="H57" s="77">
        <f t="shared" si="14"/>
        <v>0.1</v>
      </c>
      <c r="I57" s="77">
        <f t="shared" si="14"/>
        <v>0.1</v>
      </c>
      <c r="J57" s="77">
        <f t="shared" si="14"/>
        <v>0.1</v>
      </c>
      <c r="K57" s="77">
        <f t="shared" si="14"/>
        <v>0.1</v>
      </c>
      <c r="L57" s="77">
        <f t="shared" si="14"/>
        <v>0.1</v>
      </c>
      <c r="M57" s="77">
        <f t="shared" si="14"/>
        <v>0.1</v>
      </c>
      <c r="N57" s="77">
        <f t="shared" si="14"/>
        <v>0.1</v>
      </c>
      <c r="O57" s="77">
        <f t="shared" si="14"/>
        <v>0.05</v>
      </c>
      <c r="P57" s="77">
        <f t="shared" si="14"/>
        <v>0</v>
      </c>
      <c r="Q57" s="25" t="s">
        <v>348</v>
      </c>
    </row>
    <row r="58" spans="1:17">
      <c r="A58" s="24" t="s">
        <v>16</v>
      </c>
      <c r="D58" s="77">
        <f t="shared" ref="D58:D60" si="15">D$41</f>
        <v>0</v>
      </c>
      <c r="E58" s="77">
        <f t="shared" si="14"/>
        <v>0.05</v>
      </c>
      <c r="F58" s="77">
        <f t="shared" si="14"/>
        <v>0.1</v>
      </c>
      <c r="G58" s="77">
        <f t="shared" si="14"/>
        <v>0.1</v>
      </c>
      <c r="H58" s="77">
        <f t="shared" si="14"/>
        <v>0.1</v>
      </c>
      <c r="I58" s="77">
        <f t="shared" si="14"/>
        <v>0.1</v>
      </c>
      <c r="J58" s="77">
        <f t="shared" si="14"/>
        <v>0.1</v>
      </c>
      <c r="K58" s="77">
        <f t="shared" si="14"/>
        <v>0.1</v>
      </c>
      <c r="L58" s="77">
        <f t="shared" si="14"/>
        <v>0.1</v>
      </c>
      <c r="M58" s="77">
        <f t="shared" si="14"/>
        <v>0.1</v>
      </c>
      <c r="N58" s="77">
        <f t="shared" si="14"/>
        <v>0.1</v>
      </c>
      <c r="O58" s="77">
        <f t="shared" si="14"/>
        <v>0.05</v>
      </c>
      <c r="P58" s="77">
        <f t="shared" si="14"/>
        <v>0</v>
      </c>
      <c r="Q58" s="25" t="s">
        <v>348</v>
      </c>
    </row>
    <row r="59" spans="1:17">
      <c r="A59" s="24" t="s">
        <v>17</v>
      </c>
      <c r="D59" s="77">
        <f t="shared" si="15"/>
        <v>0</v>
      </c>
      <c r="E59" s="77">
        <f t="shared" si="14"/>
        <v>0.05</v>
      </c>
      <c r="F59" s="77">
        <f t="shared" si="14"/>
        <v>0.1</v>
      </c>
      <c r="G59" s="77">
        <f t="shared" si="14"/>
        <v>0.1</v>
      </c>
      <c r="H59" s="77">
        <f t="shared" si="14"/>
        <v>0.1</v>
      </c>
      <c r="I59" s="77">
        <f t="shared" si="14"/>
        <v>0.1</v>
      </c>
      <c r="J59" s="77">
        <f t="shared" si="14"/>
        <v>0.1</v>
      </c>
      <c r="K59" s="77">
        <f t="shared" si="14"/>
        <v>0.1</v>
      </c>
      <c r="L59" s="77">
        <f t="shared" si="14"/>
        <v>0.1</v>
      </c>
      <c r="M59" s="77">
        <f t="shared" si="14"/>
        <v>0.1</v>
      </c>
      <c r="N59" s="77">
        <f t="shared" si="14"/>
        <v>0.1</v>
      </c>
      <c r="O59" s="77">
        <f t="shared" si="14"/>
        <v>0.05</v>
      </c>
      <c r="P59" s="77">
        <f t="shared" si="14"/>
        <v>0</v>
      </c>
      <c r="Q59" s="25" t="s">
        <v>348</v>
      </c>
    </row>
    <row r="60" spans="1:17">
      <c r="A60" s="24" t="s">
        <v>55</v>
      </c>
      <c r="D60" s="77">
        <f t="shared" si="15"/>
        <v>0</v>
      </c>
      <c r="E60" s="77">
        <f t="shared" si="14"/>
        <v>0.05</v>
      </c>
      <c r="F60" s="77">
        <f t="shared" si="14"/>
        <v>0.1</v>
      </c>
      <c r="G60" s="77">
        <f t="shared" si="14"/>
        <v>0.1</v>
      </c>
      <c r="H60" s="77">
        <f t="shared" si="14"/>
        <v>0.1</v>
      </c>
      <c r="I60" s="77">
        <f t="shared" si="14"/>
        <v>0.1</v>
      </c>
      <c r="J60" s="77">
        <f t="shared" si="14"/>
        <v>0.1</v>
      </c>
      <c r="K60" s="77">
        <f t="shared" si="14"/>
        <v>0.1</v>
      </c>
      <c r="L60" s="77">
        <f t="shared" si="14"/>
        <v>0.1</v>
      </c>
      <c r="M60" s="77">
        <f t="shared" si="14"/>
        <v>0.1</v>
      </c>
      <c r="N60" s="77">
        <f t="shared" si="14"/>
        <v>0.1</v>
      </c>
      <c r="O60" s="77">
        <f t="shared" si="14"/>
        <v>0.05</v>
      </c>
      <c r="P60" s="77">
        <f t="shared" si="14"/>
        <v>0</v>
      </c>
      <c r="Q60" s="25" t="s">
        <v>348</v>
      </c>
    </row>
    <row r="61" spans="1:17">
      <c r="A61" s="24" t="s">
        <v>56</v>
      </c>
      <c r="D61" s="77">
        <f>1/12</f>
        <v>8.3333333333333329E-2</v>
      </c>
      <c r="E61" s="77">
        <f t="shared" ref="E61:O61" si="16">1/12</f>
        <v>8.3333333333333329E-2</v>
      </c>
      <c r="F61" s="77">
        <f t="shared" si="16"/>
        <v>8.3333333333333329E-2</v>
      </c>
      <c r="G61" s="77">
        <f t="shared" si="16"/>
        <v>8.3333333333333329E-2</v>
      </c>
      <c r="H61" s="77">
        <f t="shared" si="16"/>
        <v>8.3333333333333329E-2</v>
      </c>
      <c r="I61" s="77">
        <f t="shared" si="16"/>
        <v>8.3333333333333329E-2</v>
      </c>
      <c r="J61" s="77">
        <f t="shared" si="16"/>
        <v>8.3333333333333329E-2</v>
      </c>
      <c r="K61" s="77">
        <f t="shared" si="16"/>
        <v>8.3333333333333329E-2</v>
      </c>
      <c r="L61" s="77">
        <f t="shared" si="16"/>
        <v>8.3333333333333329E-2</v>
      </c>
      <c r="M61" s="77">
        <f t="shared" si="16"/>
        <v>8.3333333333333329E-2</v>
      </c>
      <c r="N61" s="77">
        <f t="shared" si="16"/>
        <v>8.3333333333333329E-2</v>
      </c>
      <c r="O61" s="77">
        <f t="shared" si="16"/>
        <v>8.3333333333333329E-2</v>
      </c>
      <c r="P61" s="77">
        <v>0</v>
      </c>
      <c r="Q61" s="25" t="s">
        <v>349</v>
      </c>
    </row>
    <row r="62" spans="1:17">
      <c r="A62" s="24" t="s">
        <v>57</v>
      </c>
      <c r="D62" s="77">
        <f>D41</f>
        <v>0</v>
      </c>
      <c r="E62" s="77">
        <f t="shared" ref="E62:P62" si="17">E41</f>
        <v>0.05</v>
      </c>
      <c r="F62" s="77">
        <f t="shared" si="17"/>
        <v>0.1</v>
      </c>
      <c r="G62" s="77">
        <f t="shared" si="17"/>
        <v>0.1</v>
      </c>
      <c r="H62" s="77">
        <f t="shared" si="17"/>
        <v>0.1</v>
      </c>
      <c r="I62" s="77">
        <f t="shared" si="17"/>
        <v>0.1</v>
      </c>
      <c r="J62" s="77">
        <f t="shared" si="17"/>
        <v>0.1</v>
      </c>
      <c r="K62" s="77">
        <f t="shared" si="17"/>
        <v>0.1</v>
      </c>
      <c r="L62" s="77">
        <f t="shared" si="17"/>
        <v>0.1</v>
      </c>
      <c r="M62" s="77">
        <f t="shared" si="17"/>
        <v>0.1</v>
      </c>
      <c r="N62" s="77">
        <f t="shared" si="17"/>
        <v>0.1</v>
      </c>
      <c r="O62" s="77">
        <f t="shared" si="17"/>
        <v>0.05</v>
      </c>
      <c r="P62" s="77">
        <f t="shared" si="17"/>
        <v>0</v>
      </c>
      <c r="Q62" s="25" t="s">
        <v>348</v>
      </c>
    </row>
    <row r="63" spans="1:17">
      <c r="A63" s="24" t="s">
        <v>18</v>
      </c>
      <c r="D63" s="77">
        <v>0.3</v>
      </c>
      <c r="E63" s="77">
        <f>(1-D63)/11</f>
        <v>6.363636363636363E-2</v>
      </c>
      <c r="F63" s="77">
        <f>E63</f>
        <v>6.363636363636363E-2</v>
      </c>
      <c r="G63" s="77">
        <f t="shared" ref="G63:O63" si="18">F63</f>
        <v>6.363636363636363E-2</v>
      </c>
      <c r="H63" s="77">
        <f t="shared" si="18"/>
        <v>6.363636363636363E-2</v>
      </c>
      <c r="I63" s="77">
        <f t="shared" si="18"/>
        <v>6.363636363636363E-2</v>
      </c>
      <c r="J63" s="77">
        <f t="shared" si="18"/>
        <v>6.363636363636363E-2</v>
      </c>
      <c r="K63" s="77">
        <f t="shared" si="18"/>
        <v>6.363636363636363E-2</v>
      </c>
      <c r="L63" s="77">
        <f t="shared" si="18"/>
        <v>6.363636363636363E-2</v>
      </c>
      <c r="M63" s="77">
        <f t="shared" si="18"/>
        <v>6.363636363636363E-2</v>
      </c>
      <c r="N63" s="77">
        <f t="shared" si="18"/>
        <v>6.363636363636363E-2</v>
      </c>
      <c r="O63" s="77">
        <f t="shared" si="18"/>
        <v>6.363636363636363E-2</v>
      </c>
      <c r="P63" s="77">
        <v>0</v>
      </c>
      <c r="Q63" s="25" t="s">
        <v>350</v>
      </c>
    </row>
    <row r="64" spans="1:17">
      <c r="A64" s="24" t="s">
        <v>19</v>
      </c>
      <c r="D64" s="77">
        <f>D$41</f>
        <v>0</v>
      </c>
      <c r="E64" s="77">
        <f t="shared" ref="E64:P65" si="19">E$41</f>
        <v>0.05</v>
      </c>
      <c r="F64" s="77">
        <f t="shared" si="19"/>
        <v>0.1</v>
      </c>
      <c r="G64" s="77">
        <f t="shared" si="19"/>
        <v>0.1</v>
      </c>
      <c r="H64" s="77">
        <f t="shared" si="19"/>
        <v>0.1</v>
      </c>
      <c r="I64" s="77">
        <f t="shared" si="19"/>
        <v>0.1</v>
      </c>
      <c r="J64" s="77">
        <f t="shared" si="19"/>
        <v>0.1</v>
      </c>
      <c r="K64" s="77">
        <f t="shared" si="19"/>
        <v>0.1</v>
      </c>
      <c r="L64" s="77">
        <f t="shared" si="19"/>
        <v>0.1</v>
      </c>
      <c r="M64" s="77">
        <f t="shared" si="19"/>
        <v>0.1</v>
      </c>
      <c r="N64" s="77">
        <f t="shared" si="19"/>
        <v>0.1</v>
      </c>
      <c r="O64" s="77">
        <f t="shared" si="19"/>
        <v>0.05</v>
      </c>
      <c r="P64" s="77">
        <f t="shared" si="19"/>
        <v>0</v>
      </c>
      <c r="Q64" s="25" t="s">
        <v>348</v>
      </c>
    </row>
    <row r="65" spans="1:17">
      <c r="A65" s="24" t="s">
        <v>184</v>
      </c>
      <c r="D65" s="77">
        <f>D$41</f>
        <v>0</v>
      </c>
      <c r="E65" s="77">
        <f t="shared" si="19"/>
        <v>0.05</v>
      </c>
      <c r="F65" s="77">
        <f t="shared" si="19"/>
        <v>0.1</v>
      </c>
      <c r="G65" s="77">
        <f t="shared" si="19"/>
        <v>0.1</v>
      </c>
      <c r="H65" s="77">
        <f t="shared" si="19"/>
        <v>0.1</v>
      </c>
      <c r="I65" s="77">
        <f t="shared" si="19"/>
        <v>0.1</v>
      </c>
      <c r="J65" s="77">
        <f t="shared" si="19"/>
        <v>0.1</v>
      </c>
      <c r="K65" s="77">
        <f t="shared" si="19"/>
        <v>0.1</v>
      </c>
      <c r="L65" s="77">
        <f t="shared" si="19"/>
        <v>0.1</v>
      </c>
      <c r="M65" s="77">
        <f t="shared" si="19"/>
        <v>0.1</v>
      </c>
      <c r="N65" s="77">
        <f t="shared" si="19"/>
        <v>0.1</v>
      </c>
      <c r="O65" s="77">
        <f t="shared" si="19"/>
        <v>0.05</v>
      </c>
      <c r="P65" s="77">
        <f t="shared" si="19"/>
        <v>0</v>
      </c>
      <c r="Q65" s="25" t="s">
        <v>348</v>
      </c>
    </row>
    <row r="66" spans="1:17"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1:17"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7">
      <c r="A68" s="24" t="s">
        <v>63</v>
      </c>
      <c r="D68" s="77">
        <f>(75%/3)</f>
        <v>0.25</v>
      </c>
      <c r="E68" s="77">
        <f>(75%/3)</f>
        <v>0.25</v>
      </c>
      <c r="F68" s="77">
        <f>(75%/3)</f>
        <v>0.25</v>
      </c>
      <c r="G68" s="77">
        <f>25%/9</f>
        <v>2.7777777777777776E-2</v>
      </c>
      <c r="H68" s="77">
        <f t="shared" ref="H68:O72" si="20">25%/9</f>
        <v>2.7777777777777776E-2</v>
      </c>
      <c r="I68" s="77">
        <f t="shared" si="20"/>
        <v>2.7777777777777776E-2</v>
      </c>
      <c r="J68" s="77">
        <f t="shared" si="20"/>
        <v>2.7777777777777776E-2</v>
      </c>
      <c r="K68" s="77">
        <f t="shared" si="20"/>
        <v>2.7777777777777776E-2</v>
      </c>
      <c r="L68" s="77">
        <f t="shared" si="20"/>
        <v>2.7777777777777776E-2</v>
      </c>
      <c r="M68" s="77">
        <f t="shared" si="20"/>
        <v>2.7777777777777776E-2</v>
      </c>
      <c r="N68" s="77">
        <f t="shared" si="20"/>
        <v>2.7777777777777776E-2</v>
      </c>
      <c r="O68" s="77">
        <f t="shared" si="20"/>
        <v>2.7777777777777776E-2</v>
      </c>
      <c r="P68" s="77">
        <v>0</v>
      </c>
      <c r="Q68" s="25" t="s">
        <v>380</v>
      </c>
    </row>
    <row r="69" spans="1:17">
      <c r="A69" s="24" t="s">
        <v>64</v>
      </c>
      <c r="D69" s="77">
        <f t="shared" ref="D69:F72" si="21">(75%/3)</f>
        <v>0.25</v>
      </c>
      <c r="E69" s="77">
        <f t="shared" si="21"/>
        <v>0.25</v>
      </c>
      <c r="F69" s="77">
        <f t="shared" si="21"/>
        <v>0.25</v>
      </c>
      <c r="G69" s="77">
        <f t="shared" ref="G69:G72" si="22">25%/9</f>
        <v>2.7777777777777776E-2</v>
      </c>
      <c r="H69" s="77">
        <f t="shared" si="20"/>
        <v>2.7777777777777776E-2</v>
      </c>
      <c r="I69" s="77">
        <f t="shared" si="20"/>
        <v>2.7777777777777776E-2</v>
      </c>
      <c r="J69" s="77">
        <f t="shared" si="20"/>
        <v>2.7777777777777776E-2</v>
      </c>
      <c r="K69" s="77">
        <f t="shared" si="20"/>
        <v>2.7777777777777776E-2</v>
      </c>
      <c r="L69" s="77">
        <f t="shared" si="20"/>
        <v>2.7777777777777776E-2</v>
      </c>
      <c r="M69" s="77">
        <f t="shared" si="20"/>
        <v>2.7777777777777776E-2</v>
      </c>
      <c r="N69" s="77">
        <f t="shared" si="20"/>
        <v>2.7777777777777776E-2</v>
      </c>
      <c r="O69" s="77">
        <f t="shared" si="20"/>
        <v>2.7777777777777776E-2</v>
      </c>
      <c r="P69" s="77">
        <v>0</v>
      </c>
      <c r="Q69" s="25" t="s">
        <v>380</v>
      </c>
    </row>
    <row r="70" spans="1:17">
      <c r="A70" s="24" t="s">
        <v>20</v>
      </c>
      <c r="D70" s="77">
        <f t="shared" si="21"/>
        <v>0.25</v>
      </c>
      <c r="E70" s="77">
        <f t="shared" si="21"/>
        <v>0.25</v>
      </c>
      <c r="F70" s="77">
        <f t="shared" si="21"/>
        <v>0.25</v>
      </c>
      <c r="G70" s="77">
        <f t="shared" si="22"/>
        <v>2.7777777777777776E-2</v>
      </c>
      <c r="H70" s="77">
        <f t="shared" si="20"/>
        <v>2.7777777777777776E-2</v>
      </c>
      <c r="I70" s="77">
        <f t="shared" si="20"/>
        <v>2.7777777777777776E-2</v>
      </c>
      <c r="J70" s="77">
        <f t="shared" si="20"/>
        <v>2.7777777777777776E-2</v>
      </c>
      <c r="K70" s="77">
        <f t="shared" si="20"/>
        <v>2.7777777777777776E-2</v>
      </c>
      <c r="L70" s="77">
        <f t="shared" si="20"/>
        <v>2.7777777777777776E-2</v>
      </c>
      <c r="M70" s="77">
        <f t="shared" si="20"/>
        <v>2.7777777777777776E-2</v>
      </c>
      <c r="N70" s="77">
        <f t="shared" si="20"/>
        <v>2.7777777777777776E-2</v>
      </c>
      <c r="O70" s="77">
        <f t="shared" si="20"/>
        <v>2.7777777777777776E-2</v>
      </c>
      <c r="P70" s="77">
        <v>0</v>
      </c>
      <c r="Q70" s="25" t="s">
        <v>380</v>
      </c>
    </row>
    <row r="71" spans="1:17">
      <c r="A71" s="24" t="s">
        <v>21</v>
      </c>
      <c r="D71" s="77">
        <f t="shared" si="21"/>
        <v>0.25</v>
      </c>
      <c r="E71" s="77">
        <f t="shared" si="21"/>
        <v>0.25</v>
      </c>
      <c r="F71" s="77">
        <f t="shared" si="21"/>
        <v>0.25</v>
      </c>
      <c r="G71" s="77">
        <f t="shared" si="22"/>
        <v>2.7777777777777776E-2</v>
      </c>
      <c r="H71" s="77">
        <f t="shared" si="20"/>
        <v>2.7777777777777776E-2</v>
      </c>
      <c r="I71" s="77">
        <f t="shared" si="20"/>
        <v>2.7777777777777776E-2</v>
      </c>
      <c r="J71" s="77">
        <f t="shared" si="20"/>
        <v>2.7777777777777776E-2</v>
      </c>
      <c r="K71" s="77">
        <f t="shared" si="20"/>
        <v>2.7777777777777776E-2</v>
      </c>
      <c r="L71" s="77">
        <f t="shared" si="20"/>
        <v>2.7777777777777776E-2</v>
      </c>
      <c r="M71" s="77">
        <f t="shared" si="20"/>
        <v>2.7777777777777776E-2</v>
      </c>
      <c r="N71" s="77">
        <f t="shared" si="20"/>
        <v>2.7777777777777776E-2</v>
      </c>
      <c r="O71" s="77">
        <f t="shared" si="20"/>
        <v>2.7777777777777776E-2</v>
      </c>
      <c r="P71" s="77">
        <v>0</v>
      </c>
      <c r="Q71" s="25" t="s">
        <v>380</v>
      </c>
    </row>
    <row r="72" spans="1:17">
      <c r="A72" s="24" t="s">
        <v>53</v>
      </c>
      <c r="D72" s="77">
        <f t="shared" si="21"/>
        <v>0.25</v>
      </c>
      <c r="E72" s="77">
        <f t="shared" si="21"/>
        <v>0.25</v>
      </c>
      <c r="F72" s="77">
        <f t="shared" si="21"/>
        <v>0.25</v>
      </c>
      <c r="G72" s="77">
        <f t="shared" si="22"/>
        <v>2.7777777777777776E-2</v>
      </c>
      <c r="H72" s="77">
        <f t="shared" si="20"/>
        <v>2.7777777777777776E-2</v>
      </c>
      <c r="I72" s="77">
        <f t="shared" si="20"/>
        <v>2.7777777777777776E-2</v>
      </c>
      <c r="J72" s="77">
        <f t="shared" si="20"/>
        <v>2.7777777777777776E-2</v>
      </c>
      <c r="K72" s="77">
        <f t="shared" si="20"/>
        <v>2.7777777777777776E-2</v>
      </c>
      <c r="L72" s="77">
        <f t="shared" si="20"/>
        <v>2.7777777777777776E-2</v>
      </c>
      <c r="M72" s="77">
        <f t="shared" si="20"/>
        <v>2.7777777777777776E-2</v>
      </c>
      <c r="N72" s="77">
        <f t="shared" si="20"/>
        <v>2.7777777777777776E-2</v>
      </c>
      <c r="O72" s="77">
        <f t="shared" si="20"/>
        <v>2.7777777777777776E-2</v>
      </c>
      <c r="P72" s="77">
        <v>0</v>
      </c>
      <c r="Q72" s="25" t="s">
        <v>380</v>
      </c>
    </row>
    <row r="73" spans="1:17">
      <c r="A73" s="24" t="s">
        <v>54</v>
      </c>
      <c r="D73" s="77">
        <v>0</v>
      </c>
      <c r="E73" s="77">
        <v>0.05</v>
      </c>
      <c r="F73" s="77">
        <v>0.1</v>
      </c>
      <c r="G73" s="77">
        <v>0.1</v>
      </c>
      <c r="H73" s="77">
        <v>0.1</v>
      </c>
      <c r="I73" s="77">
        <v>0.1</v>
      </c>
      <c r="J73" s="77">
        <v>0.1</v>
      </c>
      <c r="K73" s="77">
        <v>0.1</v>
      </c>
      <c r="L73" s="77">
        <v>0.1</v>
      </c>
      <c r="M73" s="77">
        <v>0.1</v>
      </c>
      <c r="N73" s="77">
        <v>0.1</v>
      </c>
      <c r="O73" s="77">
        <v>0.05</v>
      </c>
      <c r="P73" s="77">
        <v>0</v>
      </c>
      <c r="Q73" s="25" t="s">
        <v>352</v>
      </c>
    </row>
    <row r="74" spans="1:17"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1:17"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1:17">
      <c r="A76" s="24" t="s">
        <v>22</v>
      </c>
      <c r="D76" s="77">
        <f>1/12</f>
        <v>8.3333333333333329E-2</v>
      </c>
      <c r="E76" s="77">
        <f t="shared" ref="E76:O98" si="23">1/12</f>
        <v>8.3333333333333329E-2</v>
      </c>
      <c r="F76" s="77">
        <f t="shared" si="23"/>
        <v>8.3333333333333329E-2</v>
      </c>
      <c r="G76" s="77">
        <f t="shared" si="23"/>
        <v>8.3333333333333329E-2</v>
      </c>
      <c r="H76" s="77">
        <f t="shared" si="23"/>
        <v>8.3333333333333329E-2</v>
      </c>
      <c r="I76" s="77">
        <f t="shared" si="23"/>
        <v>8.3333333333333329E-2</v>
      </c>
      <c r="J76" s="77">
        <f t="shared" si="23"/>
        <v>8.3333333333333329E-2</v>
      </c>
      <c r="K76" s="77">
        <f t="shared" si="23"/>
        <v>8.3333333333333329E-2</v>
      </c>
      <c r="L76" s="77">
        <f t="shared" si="23"/>
        <v>8.3333333333333329E-2</v>
      </c>
      <c r="M76" s="77">
        <f t="shared" si="23"/>
        <v>8.3333333333333329E-2</v>
      </c>
      <c r="N76" s="77">
        <f t="shared" si="23"/>
        <v>8.3333333333333329E-2</v>
      </c>
      <c r="O76" s="77">
        <f t="shared" si="23"/>
        <v>8.3333333333333329E-2</v>
      </c>
      <c r="P76" s="77">
        <v>0</v>
      </c>
      <c r="Q76" s="25" t="s">
        <v>349</v>
      </c>
    </row>
    <row r="77" spans="1:17">
      <c r="A77" s="24" t="s">
        <v>23</v>
      </c>
      <c r="D77" s="77">
        <f>1/12</f>
        <v>8.3333333333333329E-2</v>
      </c>
      <c r="E77" s="77">
        <f t="shared" si="23"/>
        <v>8.3333333333333329E-2</v>
      </c>
      <c r="F77" s="77">
        <f t="shared" si="23"/>
        <v>8.3333333333333329E-2</v>
      </c>
      <c r="G77" s="77">
        <f t="shared" si="23"/>
        <v>8.3333333333333329E-2</v>
      </c>
      <c r="H77" s="77">
        <f t="shared" si="23"/>
        <v>8.3333333333333329E-2</v>
      </c>
      <c r="I77" s="77">
        <f t="shared" si="23"/>
        <v>8.3333333333333329E-2</v>
      </c>
      <c r="J77" s="77">
        <f t="shared" si="23"/>
        <v>8.3333333333333329E-2</v>
      </c>
      <c r="K77" s="77">
        <f t="shared" si="23"/>
        <v>8.3333333333333329E-2</v>
      </c>
      <c r="L77" s="77">
        <f t="shared" si="23"/>
        <v>8.3333333333333329E-2</v>
      </c>
      <c r="M77" s="77">
        <f t="shared" si="23"/>
        <v>8.3333333333333329E-2</v>
      </c>
      <c r="N77" s="77">
        <f t="shared" si="23"/>
        <v>8.3333333333333329E-2</v>
      </c>
      <c r="O77" s="77">
        <f t="shared" si="23"/>
        <v>8.3333333333333329E-2</v>
      </c>
      <c r="P77" s="77">
        <v>0</v>
      </c>
      <c r="Q77" s="25" t="s">
        <v>349</v>
      </c>
    </row>
    <row r="78" spans="1:17">
      <c r="A78" s="24" t="s">
        <v>269</v>
      </c>
      <c r="D78" s="77">
        <v>0.3</v>
      </c>
      <c r="E78" s="77">
        <f>(1-D78)/11</f>
        <v>6.363636363636363E-2</v>
      </c>
      <c r="F78" s="77">
        <f>E78</f>
        <v>6.363636363636363E-2</v>
      </c>
      <c r="G78" s="77">
        <f t="shared" ref="G78:O78" si="24">F78</f>
        <v>6.363636363636363E-2</v>
      </c>
      <c r="H78" s="77">
        <f t="shared" si="24"/>
        <v>6.363636363636363E-2</v>
      </c>
      <c r="I78" s="77">
        <f t="shared" si="24"/>
        <v>6.363636363636363E-2</v>
      </c>
      <c r="J78" s="77">
        <f t="shared" si="24"/>
        <v>6.363636363636363E-2</v>
      </c>
      <c r="K78" s="77">
        <f t="shared" si="24"/>
        <v>6.363636363636363E-2</v>
      </c>
      <c r="L78" s="77">
        <f t="shared" si="24"/>
        <v>6.363636363636363E-2</v>
      </c>
      <c r="M78" s="77">
        <f t="shared" si="24"/>
        <v>6.363636363636363E-2</v>
      </c>
      <c r="N78" s="77">
        <f t="shared" si="24"/>
        <v>6.363636363636363E-2</v>
      </c>
      <c r="O78" s="77">
        <f t="shared" si="24"/>
        <v>6.363636363636363E-2</v>
      </c>
      <c r="P78" s="77">
        <v>0</v>
      </c>
      <c r="Q78" s="25" t="s">
        <v>350</v>
      </c>
    </row>
    <row r="79" spans="1:17">
      <c r="A79" s="24" t="s">
        <v>60</v>
      </c>
      <c r="D79" s="77">
        <f t="shared" ref="D79:D84" si="25">1/12</f>
        <v>8.3333333333333329E-2</v>
      </c>
      <c r="E79" s="77">
        <f t="shared" si="23"/>
        <v>8.3333333333333329E-2</v>
      </c>
      <c r="F79" s="77">
        <f t="shared" si="23"/>
        <v>8.3333333333333329E-2</v>
      </c>
      <c r="G79" s="77">
        <f t="shared" si="23"/>
        <v>8.3333333333333329E-2</v>
      </c>
      <c r="H79" s="77">
        <f t="shared" si="23"/>
        <v>8.3333333333333329E-2</v>
      </c>
      <c r="I79" s="77">
        <f t="shared" si="23"/>
        <v>8.3333333333333329E-2</v>
      </c>
      <c r="J79" s="77">
        <f t="shared" si="23"/>
        <v>8.3333333333333329E-2</v>
      </c>
      <c r="K79" s="77">
        <f t="shared" si="23"/>
        <v>8.3333333333333329E-2</v>
      </c>
      <c r="L79" s="77">
        <f t="shared" si="23"/>
        <v>8.3333333333333329E-2</v>
      </c>
      <c r="M79" s="77">
        <f t="shared" si="23"/>
        <v>8.3333333333333329E-2</v>
      </c>
      <c r="N79" s="77">
        <f t="shared" si="23"/>
        <v>8.3333333333333329E-2</v>
      </c>
      <c r="O79" s="77">
        <f t="shared" si="23"/>
        <v>8.3333333333333329E-2</v>
      </c>
      <c r="P79" s="77">
        <v>0</v>
      </c>
      <c r="Q79" s="25" t="s">
        <v>349</v>
      </c>
    </row>
    <row r="80" spans="1:17">
      <c r="A80" s="24" t="s">
        <v>61</v>
      </c>
      <c r="D80" s="77">
        <f t="shared" si="25"/>
        <v>8.3333333333333329E-2</v>
      </c>
      <c r="E80" s="77">
        <f t="shared" si="23"/>
        <v>8.3333333333333329E-2</v>
      </c>
      <c r="F80" s="77">
        <f t="shared" si="23"/>
        <v>8.3333333333333329E-2</v>
      </c>
      <c r="G80" s="77">
        <f t="shared" si="23"/>
        <v>8.3333333333333329E-2</v>
      </c>
      <c r="H80" s="77">
        <f t="shared" si="23"/>
        <v>8.3333333333333329E-2</v>
      </c>
      <c r="I80" s="77">
        <f t="shared" si="23"/>
        <v>8.3333333333333329E-2</v>
      </c>
      <c r="J80" s="77">
        <f t="shared" si="23"/>
        <v>8.3333333333333329E-2</v>
      </c>
      <c r="K80" s="77">
        <f t="shared" si="23"/>
        <v>8.3333333333333329E-2</v>
      </c>
      <c r="L80" s="77">
        <f t="shared" si="23"/>
        <v>8.3333333333333329E-2</v>
      </c>
      <c r="M80" s="77">
        <f t="shared" si="23"/>
        <v>8.3333333333333329E-2</v>
      </c>
      <c r="N80" s="77">
        <f t="shared" si="23"/>
        <v>8.3333333333333329E-2</v>
      </c>
      <c r="O80" s="77">
        <f t="shared" si="23"/>
        <v>8.3333333333333329E-2</v>
      </c>
      <c r="P80" s="77">
        <v>0</v>
      </c>
      <c r="Q80" s="25" t="s">
        <v>349</v>
      </c>
    </row>
    <row r="81" spans="1:17">
      <c r="A81" s="24" t="s">
        <v>211</v>
      </c>
      <c r="D81" s="77">
        <f t="shared" si="25"/>
        <v>8.3333333333333329E-2</v>
      </c>
      <c r="E81" s="77">
        <f t="shared" si="23"/>
        <v>8.3333333333333329E-2</v>
      </c>
      <c r="F81" s="77">
        <f t="shared" si="23"/>
        <v>8.3333333333333329E-2</v>
      </c>
      <c r="G81" s="77">
        <f t="shared" si="23"/>
        <v>8.3333333333333329E-2</v>
      </c>
      <c r="H81" s="77">
        <f t="shared" si="23"/>
        <v>8.3333333333333329E-2</v>
      </c>
      <c r="I81" s="77">
        <f t="shared" si="23"/>
        <v>8.3333333333333329E-2</v>
      </c>
      <c r="J81" s="77">
        <f t="shared" si="23"/>
        <v>8.3333333333333329E-2</v>
      </c>
      <c r="K81" s="77">
        <f t="shared" si="23"/>
        <v>8.3333333333333329E-2</v>
      </c>
      <c r="L81" s="77">
        <f t="shared" si="23"/>
        <v>8.3333333333333329E-2</v>
      </c>
      <c r="M81" s="77">
        <f t="shared" si="23"/>
        <v>8.3333333333333329E-2</v>
      </c>
      <c r="N81" s="77">
        <f t="shared" si="23"/>
        <v>8.3333333333333329E-2</v>
      </c>
      <c r="O81" s="77">
        <f t="shared" si="23"/>
        <v>8.3333333333333329E-2</v>
      </c>
      <c r="P81" s="77">
        <v>0</v>
      </c>
      <c r="Q81" s="25" t="s">
        <v>349</v>
      </c>
    </row>
    <row r="82" spans="1:17">
      <c r="A82" s="24" t="s">
        <v>212</v>
      </c>
      <c r="D82" s="77">
        <f t="shared" si="25"/>
        <v>8.3333333333333329E-2</v>
      </c>
      <c r="E82" s="77">
        <f t="shared" si="23"/>
        <v>8.3333333333333329E-2</v>
      </c>
      <c r="F82" s="77">
        <f t="shared" si="23"/>
        <v>8.3333333333333329E-2</v>
      </c>
      <c r="G82" s="77">
        <f t="shared" si="23"/>
        <v>8.3333333333333329E-2</v>
      </c>
      <c r="H82" s="77">
        <f t="shared" si="23"/>
        <v>8.3333333333333329E-2</v>
      </c>
      <c r="I82" s="77">
        <f t="shared" si="23"/>
        <v>8.3333333333333329E-2</v>
      </c>
      <c r="J82" s="77">
        <f t="shared" si="23"/>
        <v>8.3333333333333329E-2</v>
      </c>
      <c r="K82" s="77">
        <f t="shared" si="23"/>
        <v>8.3333333333333329E-2</v>
      </c>
      <c r="L82" s="77">
        <f t="shared" si="23"/>
        <v>8.3333333333333329E-2</v>
      </c>
      <c r="M82" s="77">
        <f t="shared" si="23"/>
        <v>8.3333333333333329E-2</v>
      </c>
      <c r="N82" s="77">
        <f t="shared" si="23"/>
        <v>8.3333333333333329E-2</v>
      </c>
      <c r="O82" s="77">
        <f t="shared" si="23"/>
        <v>8.3333333333333329E-2</v>
      </c>
      <c r="P82" s="77">
        <v>0</v>
      </c>
      <c r="Q82" s="25" t="s">
        <v>349</v>
      </c>
    </row>
    <row r="83" spans="1:17">
      <c r="A83" s="24" t="s">
        <v>62</v>
      </c>
      <c r="D83" s="77">
        <f t="shared" si="25"/>
        <v>8.3333333333333329E-2</v>
      </c>
      <c r="E83" s="77">
        <f t="shared" si="23"/>
        <v>8.3333333333333329E-2</v>
      </c>
      <c r="F83" s="77">
        <f t="shared" si="23"/>
        <v>8.3333333333333329E-2</v>
      </c>
      <c r="G83" s="77">
        <f t="shared" si="23"/>
        <v>8.3333333333333329E-2</v>
      </c>
      <c r="H83" s="77">
        <f t="shared" si="23"/>
        <v>8.3333333333333329E-2</v>
      </c>
      <c r="I83" s="77">
        <f t="shared" si="23"/>
        <v>8.3333333333333329E-2</v>
      </c>
      <c r="J83" s="77">
        <f t="shared" si="23"/>
        <v>8.3333333333333329E-2</v>
      </c>
      <c r="K83" s="77">
        <f t="shared" si="23"/>
        <v>8.3333333333333329E-2</v>
      </c>
      <c r="L83" s="77">
        <f t="shared" si="23"/>
        <v>8.3333333333333329E-2</v>
      </c>
      <c r="M83" s="77">
        <f t="shared" si="23"/>
        <v>8.3333333333333329E-2</v>
      </c>
      <c r="N83" s="77">
        <f t="shared" si="23"/>
        <v>8.3333333333333329E-2</v>
      </c>
      <c r="O83" s="77">
        <f t="shared" si="23"/>
        <v>8.3333333333333329E-2</v>
      </c>
      <c r="P83" s="77">
        <v>0</v>
      </c>
      <c r="Q83" s="25" t="s">
        <v>349</v>
      </c>
    </row>
    <row r="84" spans="1:17">
      <c r="A84" s="24" t="s">
        <v>258</v>
      </c>
      <c r="D84" s="77">
        <f t="shared" si="25"/>
        <v>8.3333333333333329E-2</v>
      </c>
      <c r="E84" s="77">
        <f t="shared" si="23"/>
        <v>8.3333333333333329E-2</v>
      </c>
      <c r="F84" s="77">
        <f t="shared" si="23"/>
        <v>8.3333333333333329E-2</v>
      </c>
      <c r="G84" s="77">
        <f t="shared" si="23"/>
        <v>8.3333333333333329E-2</v>
      </c>
      <c r="H84" s="77">
        <f t="shared" si="23"/>
        <v>8.3333333333333329E-2</v>
      </c>
      <c r="I84" s="77">
        <f t="shared" si="23"/>
        <v>8.3333333333333329E-2</v>
      </c>
      <c r="J84" s="77">
        <f t="shared" si="23"/>
        <v>8.3333333333333329E-2</v>
      </c>
      <c r="K84" s="77">
        <f t="shared" si="23"/>
        <v>8.3333333333333329E-2</v>
      </c>
      <c r="L84" s="77">
        <f t="shared" si="23"/>
        <v>8.3333333333333329E-2</v>
      </c>
      <c r="M84" s="77">
        <f t="shared" si="23"/>
        <v>8.3333333333333329E-2</v>
      </c>
      <c r="N84" s="77">
        <f t="shared" si="23"/>
        <v>8.3333333333333329E-2</v>
      </c>
      <c r="O84" s="77">
        <f t="shared" si="23"/>
        <v>8.3333333333333329E-2</v>
      </c>
      <c r="P84" s="77">
        <v>0</v>
      </c>
      <c r="Q84" s="25" t="s">
        <v>349</v>
      </c>
    </row>
    <row r="85" spans="1:17">
      <c r="A85" s="24" t="s">
        <v>71</v>
      </c>
      <c r="D85" s="77">
        <v>0</v>
      </c>
      <c r="E85" s="77">
        <v>0.05</v>
      </c>
      <c r="F85" s="77">
        <v>0.1</v>
      </c>
      <c r="G85" s="77">
        <v>0.1</v>
      </c>
      <c r="H85" s="77">
        <v>0.1</v>
      </c>
      <c r="I85" s="77">
        <v>0.1</v>
      </c>
      <c r="J85" s="77">
        <v>0.1</v>
      </c>
      <c r="K85" s="77">
        <v>0.1</v>
      </c>
      <c r="L85" s="77">
        <v>0.1</v>
      </c>
      <c r="M85" s="77">
        <v>0.1</v>
      </c>
      <c r="N85" s="77">
        <v>0.1</v>
      </c>
      <c r="O85" s="77">
        <v>0.05</v>
      </c>
      <c r="P85" s="77">
        <v>0</v>
      </c>
      <c r="Q85" s="25" t="s">
        <v>352</v>
      </c>
    </row>
    <row r="86" spans="1:17">
      <c r="A86" s="24" t="s">
        <v>70</v>
      </c>
      <c r="D86" s="77">
        <f>1/12</f>
        <v>8.3333333333333329E-2</v>
      </c>
      <c r="E86" s="77">
        <f t="shared" si="23"/>
        <v>8.3333333333333329E-2</v>
      </c>
      <c r="F86" s="77">
        <f t="shared" si="23"/>
        <v>8.3333333333333329E-2</v>
      </c>
      <c r="G86" s="77">
        <f t="shared" si="23"/>
        <v>8.3333333333333329E-2</v>
      </c>
      <c r="H86" s="77">
        <f t="shared" si="23"/>
        <v>8.3333333333333329E-2</v>
      </c>
      <c r="I86" s="77">
        <f t="shared" si="23"/>
        <v>8.3333333333333329E-2</v>
      </c>
      <c r="J86" s="77">
        <f t="shared" si="23"/>
        <v>8.3333333333333329E-2</v>
      </c>
      <c r="K86" s="77">
        <f t="shared" si="23"/>
        <v>8.3333333333333329E-2</v>
      </c>
      <c r="L86" s="77">
        <f t="shared" si="23"/>
        <v>8.3333333333333329E-2</v>
      </c>
      <c r="M86" s="77">
        <f t="shared" si="23"/>
        <v>8.3333333333333329E-2</v>
      </c>
      <c r="N86" s="77">
        <f t="shared" si="23"/>
        <v>8.3333333333333329E-2</v>
      </c>
      <c r="O86" s="77">
        <f t="shared" si="23"/>
        <v>8.3333333333333329E-2</v>
      </c>
      <c r="P86" s="77">
        <v>0</v>
      </c>
      <c r="Q86" s="25" t="s">
        <v>349</v>
      </c>
    </row>
    <row r="87" spans="1:17">
      <c r="A87" s="24" t="s">
        <v>69</v>
      </c>
      <c r="D87" s="77">
        <f>1/12</f>
        <v>8.3333333333333329E-2</v>
      </c>
      <c r="E87" s="77">
        <f t="shared" si="23"/>
        <v>8.3333333333333329E-2</v>
      </c>
      <c r="F87" s="77">
        <f t="shared" si="23"/>
        <v>8.3333333333333329E-2</v>
      </c>
      <c r="G87" s="77">
        <f t="shared" si="23"/>
        <v>8.3333333333333329E-2</v>
      </c>
      <c r="H87" s="77">
        <f t="shared" si="23"/>
        <v>8.3333333333333329E-2</v>
      </c>
      <c r="I87" s="77">
        <f t="shared" si="23"/>
        <v>8.3333333333333329E-2</v>
      </c>
      <c r="J87" s="77">
        <f t="shared" si="23"/>
        <v>8.3333333333333329E-2</v>
      </c>
      <c r="K87" s="77">
        <f t="shared" si="23"/>
        <v>8.3333333333333329E-2</v>
      </c>
      <c r="L87" s="77">
        <f t="shared" si="23"/>
        <v>8.3333333333333329E-2</v>
      </c>
      <c r="M87" s="77">
        <f t="shared" si="23"/>
        <v>8.3333333333333329E-2</v>
      </c>
      <c r="N87" s="77">
        <f t="shared" si="23"/>
        <v>8.3333333333333329E-2</v>
      </c>
      <c r="O87" s="77">
        <f t="shared" si="23"/>
        <v>8.3333333333333329E-2</v>
      </c>
      <c r="P87" s="77">
        <v>0</v>
      </c>
      <c r="Q87" s="25" t="s">
        <v>349</v>
      </c>
    </row>
    <row r="88" spans="1:17">
      <c r="A88" s="24" t="s">
        <v>72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1</v>
      </c>
      <c r="Q88" s="25" t="s">
        <v>354</v>
      </c>
    </row>
    <row r="89" spans="1:17">
      <c r="A89" s="24" t="s">
        <v>74</v>
      </c>
      <c r="B89" s="23"/>
      <c r="C89" s="23"/>
      <c r="D89" s="77">
        <f>1/12</f>
        <v>8.3333333333333329E-2</v>
      </c>
      <c r="E89" s="77">
        <f t="shared" si="23"/>
        <v>8.3333333333333329E-2</v>
      </c>
      <c r="F89" s="77">
        <f t="shared" si="23"/>
        <v>8.3333333333333329E-2</v>
      </c>
      <c r="G89" s="77">
        <f t="shared" si="23"/>
        <v>8.3333333333333329E-2</v>
      </c>
      <c r="H89" s="77">
        <f t="shared" si="23"/>
        <v>8.3333333333333329E-2</v>
      </c>
      <c r="I89" s="77">
        <f t="shared" si="23"/>
        <v>8.3333333333333329E-2</v>
      </c>
      <c r="J89" s="77">
        <f t="shared" si="23"/>
        <v>8.3333333333333329E-2</v>
      </c>
      <c r="K89" s="77">
        <f t="shared" si="23"/>
        <v>8.3333333333333329E-2</v>
      </c>
      <c r="L89" s="77">
        <f t="shared" si="23"/>
        <v>8.3333333333333329E-2</v>
      </c>
      <c r="M89" s="77">
        <f t="shared" si="23"/>
        <v>8.3333333333333329E-2</v>
      </c>
      <c r="N89" s="77">
        <f t="shared" si="23"/>
        <v>8.3333333333333329E-2</v>
      </c>
      <c r="O89" s="77">
        <f t="shared" si="23"/>
        <v>8.3333333333333329E-2</v>
      </c>
      <c r="P89" s="77">
        <v>0</v>
      </c>
      <c r="Q89" s="25" t="s">
        <v>349</v>
      </c>
    </row>
    <row r="90" spans="1:17">
      <c r="A90" s="24" t="s">
        <v>24</v>
      </c>
      <c r="D90" s="77">
        <f>1/12</f>
        <v>8.3333333333333329E-2</v>
      </c>
      <c r="E90" s="77">
        <f t="shared" si="23"/>
        <v>8.3333333333333329E-2</v>
      </c>
      <c r="F90" s="77">
        <f t="shared" si="23"/>
        <v>8.3333333333333329E-2</v>
      </c>
      <c r="G90" s="77">
        <f t="shared" si="23"/>
        <v>8.3333333333333329E-2</v>
      </c>
      <c r="H90" s="77">
        <f t="shared" si="23"/>
        <v>8.3333333333333329E-2</v>
      </c>
      <c r="I90" s="77">
        <f t="shared" si="23"/>
        <v>8.3333333333333329E-2</v>
      </c>
      <c r="J90" s="77">
        <f t="shared" si="23"/>
        <v>8.3333333333333329E-2</v>
      </c>
      <c r="K90" s="77">
        <f t="shared" si="23"/>
        <v>8.3333333333333329E-2</v>
      </c>
      <c r="L90" s="77">
        <f t="shared" si="23"/>
        <v>8.3333333333333329E-2</v>
      </c>
      <c r="M90" s="77">
        <f t="shared" si="23"/>
        <v>8.3333333333333329E-2</v>
      </c>
      <c r="N90" s="77">
        <f t="shared" si="23"/>
        <v>8.3333333333333329E-2</v>
      </c>
      <c r="O90" s="77">
        <f t="shared" si="23"/>
        <v>8.3333333333333329E-2</v>
      </c>
      <c r="P90" s="77">
        <v>0</v>
      </c>
      <c r="Q90" s="25" t="s">
        <v>349</v>
      </c>
    </row>
    <row r="91" spans="1:17">
      <c r="A91" s="24" t="s">
        <v>272</v>
      </c>
      <c r="D91" s="77">
        <v>0</v>
      </c>
      <c r="E91" s="77">
        <v>0.05</v>
      </c>
      <c r="F91" s="77">
        <v>0.1</v>
      </c>
      <c r="G91" s="77">
        <v>0.1</v>
      </c>
      <c r="H91" s="77">
        <v>0.1</v>
      </c>
      <c r="I91" s="77">
        <v>0.1</v>
      </c>
      <c r="J91" s="77">
        <v>0.1</v>
      </c>
      <c r="K91" s="77">
        <v>0.1</v>
      </c>
      <c r="L91" s="77">
        <v>0.1</v>
      </c>
      <c r="M91" s="77">
        <v>0.1</v>
      </c>
      <c r="N91" s="77">
        <v>0.1</v>
      </c>
      <c r="O91" s="77">
        <v>0.05</v>
      </c>
      <c r="P91" s="77">
        <v>0</v>
      </c>
      <c r="Q91" s="25" t="s">
        <v>352</v>
      </c>
    </row>
    <row r="92" spans="1:17">
      <c r="A92" s="24" t="s">
        <v>73</v>
      </c>
      <c r="D92" s="77">
        <f>1/12</f>
        <v>8.3333333333333329E-2</v>
      </c>
      <c r="E92" s="77">
        <f t="shared" si="23"/>
        <v>8.3333333333333329E-2</v>
      </c>
      <c r="F92" s="77">
        <f t="shared" si="23"/>
        <v>8.3333333333333329E-2</v>
      </c>
      <c r="G92" s="77">
        <f t="shared" si="23"/>
        <v>8.3333333333333329E-2</v>
      </c>
      <c r="H92" s="77">
        <f t="shared" si="23"/>
        <v>8.3333333333333329E-2</v>
      </c>
      <c r="I92" s="77">
        <f t="shared" si="23"/>
        <v>8.3333333333333329E-2</v>
      </c>
      <c r="J92" s="77">
        <f t="shared" si="23"/>
        <v>8.3333333333333329E-2</v>
      </c>
      <c r="K92" s="77">
        <f t="shared" si="23"/>
        <v>8.3333333333333329E-2</v>
      </c>
      <c r="L92" s="77">
        <f t="shared" si="23"/>
        <v>8.3333333333333329E-2</v>
      </c>
      <c r="M92" s="77">
        <f t="shared" si="23"/>
        <v>8.3333333333333329E-2</v>
      </c>
      <c r="N92" s="77">
        <f t="shared" si="23"/>
        <v>8.3333333333333329E-2</v>
      </c>
      <c r="O92" s="77">
        <f t="shared" si="23"/>
        <v>8.3333333333333329E-2</v>
      </c>
      <c r="P92" s="77">
        <v>0</v>
      </c>
      <c r="Q92" s="25" t="s">
        <v>349</v>
      </c>
    </row>
    <row r="93" spans="1:17">
      <c r="A93" s="24" t="s">
        <v>75</v>
      </c>
      <c r="D93" s="77">
        <v>0</v>
      </c>
      <c r="E93" s="77">
        <v>0.05</v>
      </c>
      <c r="F93" s="77">
        <v>0.1</v>
      </c>
      <c r="G93" s="77">
        <v>0.1</v>
      </c>
      <c r="H93" s="77">
        <v>0.1</v>
      </c>
      <c r="I93" s="77">
        <v>0.1</v>
      </c>
      <c r="J93" s="77">
        <v>0.1</v>
      </c>
      <c r="K93" s="77">
        <v>0.1</v>
      </c>
      <c r="L93" s="77">
        <v>0.1</v>
      </c>
      <c r="M93" s="77">
        <v>0.1</v>
      </c>
      <c r="N93" s="77">
        <v>0.1</v>
      </c>
      <c r="O93" s="77">
        <v>0.05</v>
      </c>
      <c r="P93" s="77">
        <v>0</v>
      </c>
      <c r="Q93" s="25" t="s">
        <v>352</v>
      </c>
    </row>
    <row r="94" spans="1:17">
      <c r="A94" s="24" t="s">
        <v>66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25" t="s">
        <v>379</v>
      </c>
    </row>
    <row r="95" spans="1:17">
      <c r="A95" s="24" t="s">
        <v>65</v>
      </c>
      <c r="D95" s="87">
        <f>D12</f>
        <v>0</v>
      </c>
      <c r="E95" s="87">
        <f t="shared" ref="E95:P95" si="26">E12</f>
        <v>0</v>
      </c>
      <c r="F95" s="87">
        <f t="shared" si="26"/>
        <v>0</v>
      </c>
      <c r="G95" s="87">
        <f t="shared" si="26"/>
        <v>0.26</v>
      </c>
      <c r="H95" s="87">
        <f t="shared" si="26"/>
        <v>0.08</v>
      </c>
      <c r="I95" s="87">
        <f t="shared" si="26"/>
        <v>0.08</v>
      </c>
      <c r="J95" s="87">
        <f t="shared" si="26"/>
        <v>0.08</v>
      </c>
      <c r="K95" s="87">
        <f t="shared" si="26"/>
        <v>0.08</v>
      </c>
      <c r="L95" s="87">
        <f t="shared" si="26"/>
        <v>0.33333333333333331</v>
      </c>
      <c r="M95" s="87">
        <f t="shared" si="26"/>
        <v>0.16666666666666666</v>
      </c>
      <c r="N95" s="87">
        <f t="shared" si="26"/>
        <v>0.16666666666666666</v>
      </c>
      <c r="O95" s="87">
        <f t="shared" si="26"/>
        <v>0.16666666666666666</v>
      </c>
      <c r="P95" s="87">
        <f t="shared" si="26"/>
        <v>0.16666666666666666</v>
      </c>
      <c r="Q95" s="25" t="s">
        <v>353</v>
      </c>
    </row>
    <row r="96" spans="1:17">
      <c r="A96" s="24" t="s">
        <v>67</v>
      </c>
      <c r="D96" s="77">
        <f>1/12</f>
        <v>8.3333333333333329E-2</v>
      </c>
      <c r="E96" s="77">
        <f t="shared" si="23"/>
        <v>8.3333333333333329E-2</v>
      </c>
      <c r="F96" s="77">
        <f t="shared" si="23"/>
        <v>8.3333333333333329E-2</v>
      </c>
      <c r="G96" s="77">
        <f t="shared" si="23"/>
        <v>8.3333333333333329E-2</v>
      </c>
      <c r="H96" s="77">
        <f t="shared" si="23"/>
        <v>8.3333333333333329E-2</v>
      </c>
      <c r="I96" s="77">
        <f t="shared" si="23"/>
        <v>8.3333333333333329E-2</v>
      </c>
      <c r="J96" s="77">
        <f t="shared" si="23"/>
        <v>8.3333333333333329E-2</v>
      </c>
      <c r="K96" s="77">
        <f t="shared" si="23"/>
        <v>8.3333333333333329E-2</v>
      </c>
      <c r="L96" s="77">
        <f t="shared" si="23"/>
        <v>8.3333333333333329E-2</v>
      </c>
      <c r="M96" s="77">
        <f t="shared" si="23"/>
        <v>8.3333333333333329E-2</v>
      </c>
      <c r="N96" s="77">
        <f t="shared" si="23"/>
        <v>8.3333333333333329E-2</v>
      </c>
      <c r="O96" s="77">
        <f t="shared" si="23"/>
        <v>8.3333333333333329E-2</v>
      </c>
      <c r="P96" s="77">
        <v>0</v>
      </c>
      <c r="Q96" s="25" t="s">
        <v>349</v>
      </c>
    </row>
    <row r="97" spans="1:17">
      <c r="A97" s="24" t="s">
        <v>25</v>
      </c>
      <c r="D97" s="87">
        <f>D12</f>
        <v>0</v>
      </c>
      <c r="E97" s="87">
        <f t="shared" ref="E97:P97" si="27">E12</f>
        <v>0</v>
      </c>
      <c r="F97" s="87">
        <f t="shared" si="27"/>
        <v>0</v>
      </c>
      <c r="G97" s="87">
        <f t="shared" si="27"/>
        <v>0.26</v>
      </c>
      <c r="H97" s="87">
        <f t="shared" si="27"/>
        <v>0.08</v>
      </c>
      <c r="I97" s="87">
        <f t="shared" si="27"/>
        <v>0.08</v>
      </c>
      <c r="J97" s="87">
        <f t="shared" si="27"/>
        <v>0.08</v>
      </c>
      <c r="K97" s="87">
        <f t="shared" si="27"/>
        <v>0.08</v>
      </c>
      <c r="L97" s="87">
        <f t="shared" si="27"/>
        <v>0.33333333333333331</v>
      </c>
      <c r="M97" s="87">
        <f t="shared" si="27"/>
        <v>0.16666666666666666</v>
      </c>
      <c r="N97" s="87">
        <f t="shared" si="27"/>
        <v>0.16666666666666666</v>
      </c>
      <c r="O97" s="87">
        <f t="shared" si="27"/>
        <v>0.16666666666666666</v>
      </c>
      <c r="P97" s="87">
        <f t="shared" si="27"/>
        <v>0.16666666666666666</v>
      </c>
      <c r="Q97" s="25" t="s">
        <v>353</v>
      </c>
    </row>
    <row r="98" spans="1:17">
      <c r="A98" s="24" t="s">
        <v>68</v>
      </c>
      <c r="D98" s="77">
        <f>1/12</f>
        <v>8.3333333333333329E-2</v>
      </c>
      <c r="E98" s="77">
        <f t="shared" si="23"/>
        <v>8.3333333333333329E-2</v>
      </c>
      <c r="F98" s="77">
        <f t="shared" si="23"/>
        <v>8.3333333333333329E-2</v>
      </c>
      <c r="G98" s="77">
        <f t="shared" si="23"/>
        <v>8.3333333333333329E-2</v>
      </c>
      <c r="H98" s="77">
        <f t="shared" si="23"/>
        <v>8.3333333333333329E-2</v>
      </c>
      <c r="I98" s="77">
        <f t="shared" si="23"/>
        <v>8.3333333333333329E-2</v>
      </c>
      <c r="J98" s="77">
        <f t="shared" si="23"/>
        <v>8.3333333333333329E-2</v>
      </c>
      <c r="K98" s="77">
        <f t="shared" si="23"/>
        <v>8.3333333333333329E-2</v>
      </c>
      <c r="L98" s="77">
        <f t="shared" si="23"/>
        <v>8.3333333333333329E-2</v>
      </c>
      <c r="M98" s="77">
        <f t="shared" si="23"/>
        <v>8.3333333333333329E-2</v>
      </c>
      <c r="N98" s="77">
        <f t="shared" si="23"/>
        <v>8.3333333333333329E-2</v>
      </c>
      <c r="O98" s="77">
        <f t="shared" si="23"/>
        <v>8.3333333333333329E-2</v>
      </c>
      <c r="P98" s="77">
        <v>0</v>
      </c>
      <c r="Q98" s="25" t="s">
        <v>349</v>
      </c>
    </row>
  </sheetData>
  <mergeCells count="1">
    <mergeCell ref="D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Q98"/>
  <sheetViews>
    <sheetView zoomScale="80" zoomScaleNormal="80" zoomScalePageLayoutView="80" workbookViewId="0">
      <pane xSplit="1" ySplit="9" topLeftCell="C10" activePane="bottomRight" state="frozen"/>
      <selection pane="topRight" activeCell="B1" sqref="B1"/>
      <selection pane="bottomLeft" activeCell="A4" sqref="A4"/>
      <selection pane="bottomRight" activeCell="Q10" sqref="Q10"/>
    </sheetView>
  </sheetViews>
  <sheetFormatPr baseColWidth="10" defaultColWidth="8.83203125" defaultRowHeight="14"/>
  <cols>
    <col min="1" max="1" width="42.83203125" style="24" bestFit="1" customWidth="1"/>
    <col min="2" max="3" width="1.5" style="24" customWidth="1"/>
    <col min="4" max="16" width="8.83203125" style="24"/>
    <col min="17" max="17" width="35" style="25" customWidth="1"/>
    <col min="18" max="16384" width="8.83203125" style="24"/>
  </cols>
  <sheetData>
    <row r="1" spans="1:17">
      <c r="A1" s="23" t="s">
        <v>322</v>
      </c>
      <c r="B1" s="23"/>
      <c r="C1" s="23"/>
    </row>
    <row r="2" spans="1:17" ht="13" hidden="1" customHeight="1">
      <c r="A2" s="23"/>
      <c r="B2" s="23"/>
      <c r="C2" s="23"/>
    </row>
    <row r="3" spans="1:17" ht="13" hidden="1" customHeight="1">
      <c r="A3" s="23"/>
      <c r="B3" s="23"/>
      <c r="C3" s="23"/>
    </row>
    <row r="4" spans="1:17" ht="13" hidden="1" customHeight="1">
      <c r="A4" s="23"/>
      <c r="B4" s="23"/>
      <c r="C4" s="23"/>
    </row>
    <row r="5" spans="1:17" ht="13" hidden="1" customHeight="1">
      <c r="A5" s="23"/>
      <c r="B5" s="23"/>
      <c r="C5" s="23"/>
    </row>
    <row r="6" spans="1:17" ht="13" hidden="1" customHeight="1">
      <c r="A6" s="23"/>
      <c r="B6" s="23"/>
      <c r="C6" s="23"/>
    </row>
    <row r="7" spans="1:17" ht="13" customHeight="1">
      <c r="A7" s="23"/>
      <c r="B7" s="23"/>
      <c r="C7" s="23"/>
    </row>
    <row r="8" spans="1:17">
      <c r="A8" s="23"/>
      <c r="B8" s="23"/>
      <c r="C8" s="23"/>
      <c r="D8" s="128" t="s">
        <v>329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22"/>
    </row>
    <row r="9" spans="1:17">
      <c r="A9" s="23"/>
      <c r="B9" s="23"/>
      <c r="C9" s="23"/>
      <c r="D9" s="22" t="s">
        <v>318</v>
      </c>
      <c r="E9" s="22" t="s">
        <v>307</v>
      </c>
      <c r="F9" s="22" t="s">
        <v>308</v>
      </c>
      <c r="G9" s="22" t="s">
        <v>309</v>
      </c>
      <c r="H9" s="22" t="s">
        <v>310</v>
      </c>
      <c r="I9" s="22" t="s">
        <v>311</v>
      </c>
      <c r="J9" s="22" t="s">
        <v>312</v>
      </c>
      <c r="K9" s="22" t="s">
        <v>313</v>
      </c>
      <c r="L9" s="22" t="s">
        <v>314</v>
      </c>
      <c r="M9" s="22" t="s">
        <v>315</v>
      </c>
      <c r="N9" s="22" t="s">
        <v>316</v>
      </c>
      <c r="O9" s="22" t="s">
        <v>317</v>
      </c>
      <c r="P9" s="22" t="s">
        <v>324</v>
      </c>
      <c r="Q9" s="25" t="s">
        <v>82</v>
      </c>
    </row>
    <row r="10" spans="1:17">
      <c r="A10" s="24" t="s">
        <v>3</v>
      </c>
      <c r="D10" s="77">
        <v>0</v>
      </c>
      <c r="E10" s="77">
        <v>0.05</v>
      </c>
      <c r="F10" s="77">
        <v>0.05</v>
      </c>
      <c r="G10" s="77">
        <v>0.09</v>
      </c>
      <c r="H10" s="77">
        <v>0.09</v>
      </c>
      <c r="I10" s="77">
        <v>0.09</v>
      </c>
      <c r="J10" s="77">
        <v>0.09</v>
      </c>
      <c r="K10" s="77">
        <v>0.09</v>
      </c>
      <c r="L10" s="77">
        <v>0.2</v>
      </c>
      <c r="M10" s="77">
        <v>0.2</v>
      </c>
      <c r="N10" s="77">
        <v>0.2</v>
      </c>
      <c r="O10" s="77">
        <v>0.2</v>
      </c>
      <c r="P10" s="77">
        <v>0.2</v>
      </c>
      <c r="Q10" s="25" t="s">
        <v>381</v>
      </c>
    </row>
    <row r="11" spans="1:17">
      <c r="A11" s="24" t="s">
        <v>4</v>
      </c>
      <c r="D11" s="77">
        <v>0</v>
      </c>
      <c r="E11" s="77">
        <v>0</v>
      </c>
      <c r="F11" s="77">
        <v>0</v>
      </c>
      <c r="G11" s="77">
        <v>0.25</v>
      </c>
      <c r="H11" s="77">
        <v>0</v>
      </c>
      <c r="I11" s="77">
        <v>0</v>
      </c>
      <c r="J11" s="77">
        <v>0.25</v>
      </c>
      <c r="K11" s="77">
        <v>0</v>
      </c>
      <c r="L11" s="77">
        <v>0</v>
      </c>
      <c r="M11" s="77">
        <v>0.25</v>
      </c>
      <c r="N11" s="77">
        <v>0</v>
      </c>
      <c r="O11" s="77">
        <v>0</v>
      </c>
      <c r="P11" s="77">
        <v>0.25</v>
      </c>
      <c r="Q11" s="25" t="s">
        <v>371</v>
      </c>
    </row>
    <row r="12" spans="1:17">
      <c r="A12" s="24" t="s">
        <v>5</v>
      </c>
      <c r="D12" s="77">
        <v>0</v>
      </c>
      <c r="E12" s="77">
        <v>0.06</v>
      </c>
      <c r="F12" s="77">
        <v>0.12</v>
      </c>
      <c r="G12" s="77">
        <v>0.08</v>
      </c>
      <c r="H12" s="77">
        <v>0.08</v>
      </c>
      <c r="I12" s="77">
        <v>0.08</v>
      </c>
      <c r="J12" s="77">
        <v>0.08</v>
      </c>
      <c r="K12" s="77">
        <v>0.08</v>
      </c>
      <c r="L12" s="77">
        <v>0.33333333333333331</v>
      </c>
      <c r="M12" s="77">
        <v>0.16666666666666666</v>
      </c>
      <c r="N12" s="77">
        <v>0.16666666666666666</v>
      </c>
      <c r="O12" s="77">
        <v>0.16666666666666666</v>
      </c>
      <c r="P12" s="77">
        <v>0.16666666666666666</v>
      </c>
      <c r="Q12" s="25" t="s">
        <v>372</v>
      </c>
    </row>
    <row r="13" spans="1:17">
      <c r="A13" s="23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7"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7">
      <c r="A15" s="24" t="s">
        <v>29</v>
      </c>
      <c r="D15" s="77">
        <f>D10</f>
        <v>0</v>
      </c>
      <c r="E15" s="77">
        <f t="shared" ref="E15:P15" si="0">E10</f>
        <v>0.05</v>
      </c>
      <c r="F15" s="77">
        <f t="shared" si="0"/>
        <v>0.05</v>
      </c>
      <c r="G15" s="77">
        <f t="shared" si="0"/>
        <v>0.09</v>
      </c>
      <c r="H15" s="77">
        <f t="shared" si="0"/>
        <v>0.09</v>
      </c>
      <c r="I15" s="77">
        <f t="shared" si="0"/>
        <v>0.09</v>
      </c>
      <c r="J15" s="77">
        <f t="shared" si="0"/>
        <v>0.09</v>
      </c>
      <c r="K15" s="77">
        <f t="shared" si="0"/>
        <v>0.09</v>
      </c>
      <c r="L15" s="77">
        <f t="shared" si="0"/>
        <v>0.2</v>
      </c>
      <c r="M15" s="77">
        <f t="shared" si="0"/>
        <v>0.2</v>
      </c>
      <c r="N15" s="77">
        <f t="shared" si="0"/>
        <v>0.2</v>
      </c>
      <c r="O15" s="77">
        <f t="shared" si="0"/>
        <v>0.2</v>
      </c>
      <c r="P15" s="77">
        <f t="shared" si="0"/>
        <v>0.2</v>
      </c>
      <c r="Q15" s="25" t="s">
        <v>327</v>
      </c>
    </row>
    <row r="16" spans="1:17">
      <c r="A16" s="24" t="s">
        <v>30</v>
      </c>
      <c r="D16" s="77">
        <v>0</v>
      </c>
      <c r="E16" s="77">
        <v>0</v>
      </c>
      <c r="F16" s="77">
        <v>0</v>
      </c>
      <c r="G16" s="77">
        <v>0</v>
      </c>
      <c r="H16" s="77">
        <f>1/10</f>
        <v>0.1</v>
      </c>
      <c r="I16" s="77">
        <f>1/10</f>
        <v>0.1</v>
      </c>
      <c r="J16" s="77">
        <f t="shared" ref="J16:O16" si="1">1/10</f>
        <v>0.1</v>
      </c>
      <c r="K16" s="77">
        <f t="shared" si="1"/>
        <v>0.1</v>
      </c>
      <c r="L16" s="77">
        <f t="shared" si="1"/>
        <v>0.1</v>
      </c>
      <c r="M16" s="77">
        <f t="shared" si="1"/>
        <v>0.1</v>
      </c>
      <c r="N16" s="77">
        <f t="shared" si="1"/>
        <v>0.1</v>
      </c>
      <c r="O16" s="77">
        <f t="shared" si="1"/>
        <v>0.1</v>
      </c>
      <c r="P16" s="77">
        <f>1-SUM(H16:O16)</f>
        <v>0.20000000000000007</v>
      </c>
      <c r="Q16" s="25" t="s">
        <v>328</v>
      </c>
    </row>
    <row r="17" spans="1:17">
      <c r="A17" s="24" t="s">
        <v>35</v>
      </c>
      <c r="D17" s="77">
        <v>0</v>
      </c>
      <c r="E17" s="77">
        <v>0</v>
      </c>
      <c r="F17" s="77">
        <v>0</v>
      </c>
      <c r="G17" s="77">
        <v>0</v>
      </c>
      <c r="H17" s="77">
        <v>0.2</v>
      </c>
      <c r="I17" s="77">
        <v>0</v>
      </c>
      <c r="J17" s="77">
        <v>0.2</v>
      </c>
      <c r="K17" s="77">
        <v>0</v>
      </c>
      <c r="L17" s="77">
        <v>0.2</v>
      </c>
      <c r="M17" s="77">
        <v>0</v>
      </c>
      <c r="N17" s="77">
        <v>0</v>
      </c>
      <c r="O17" s="77">
        <v>0.2</v>
      </c>
      <c r="P17" s="77">
        <v>0.2</v>
      </c>
      <c r="Q17" s="25" t="s">
        <v>373</v>
      </c>
    </row>
    <row r="18" spans="1:17">
      <c r="A18" s="24" t="s">
        <v>36</v>
      </c>
      <c r="D18" s="77">
        <f>D$17</f>
        <v>0</v>
      </c>
      <c r="E18" s="77">
        <f t="shared" ref="E18:P19" si="2">E$17</f>
        <v>0</v>
      </c>
      <c r="F18" s="77">
        <f t="shared" si="2"/>
        <v>0</v>
      </c>
      <c r="G18" s="77">
        <f t="shared" si="2"/>
        <v>0</v>
      </c>
      <c r="H18" s="77">
        <f t="shared" si="2"/>
        <v>0.2</v>
      </c>
      <c r="I18" s="77">
        <f t="shared" si="2"/>
        <v>0</v>
      </c>
      <c r="J18" s="77">
        <f t="shared" si="2"/>
        <v>0.2</v>
      </c>
      <c r="K18" s="77">
        <f t="shared" si="2"/>
        <v>0</v>
      </c>
      <c r="L18" s="77">
        <f t="shared" si="2"/>
        <v>0.2</v>
      </c>
      <c r="M18" s="77">
        <f t="shared" si="2"/>
        <v>0</v>
      </c>
      <c r="N18" s="77">
        <f t="shared" si="2"/>
        <v>0</v>
      </c>
      <c r="O18" s="77">
        <f t="shared" si="2"/>
        <v>0.2</v>
      </c>
      <c r="P18" s="77">
        <f t="shared" si="2"/>
        <v>0.2</v>
      </c>
      <c r="Q18" s="25" t="s">
        <v>382</v>
      </c>
    </row>
    <row r="19" spans="1:17">
      <c r="A19" s="24" t="s">
        <v>37</v>
      </c>
      <c r="D19" s="77">
        <f>D$17</f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0.2</v>
      </c>
      <c r="I19" s="77">
        <f t="shared" si="2"/>
        <v>0</v>
      </c>
      <c r="J19" s="77">
        <f t="shared" si="2"/>
        <v>0.2</v>
      </c>
      <c r="K19" s="77">
        <f t="shared" si="2"/>
        <v>0</v>
      </c>
      <c r="L19" s="77">
        <f t="shared" si="2"/>
        <v>0.2</v>
      </c>
      <c r="M19" s="77">
        <f t="shared" si="2"/>
        <v>0</v>
      </c>
      <c r="N19" s="77">
        <f t="shared" si="2"/>
        <v>0</v>
      </c>
      <c r="O19" s="77">
        <f t="shared" si="2"/>
        <v>0.2</v>
      </c>
      <c r="P19" s="77">
        <f t="shared" si="2"/>
        <v>0.2</v>
      </c>
      <c r="Q19" s="25" t="s">
        <v>382</v>
      </c>
    </row>
    <row r="20" spans="1:17">
      <c r="A20" s="24" t="s">
        <v>38</v>
      </c>
      <c r="D20" s="77">
        <v>0</v>
      </c>
      <c r="E20" s="77">
        <v>0</v>
      </c>
      <c r="F20" s="77">
        <v>0</v>
      </c>
      <c r="G20" s="77">
        <v>0.25</v>
      </c>
      <c r="H20" s="77">
        <v>0</v>
      </c>
      <c r="I20" s="77">
        <v>0</v>
      </c>
      <c r="J20" s="77">
        <v>0.25</v>
      </c>
      <c r="K20" s="77">
        <v>0</v>
      </c>
      <c r="L20" s="77">
        <v>0</v>
      </c>
      <c r="M20" s="77">
        <v>0.25</v>
      </c>
      <c r="N20" s="77">
        <v>0</v>
      </c>
      <c r="O20" s="77">
        <v>0</v>
      </c>
      <c r="P20" s="77">
        <v>0.25</v>
      </c>
      <c r="Q20" s="25" t="s">
        <v>338</v>
      </c>
    </row>
    <row r="21" spans="1:17">
      <c r="A21" s="24" t="s">
        <v>6</v>
      </c>
      <c r="D21" s="77">
        <f>D17</f>
        <v>0</v>
      </c>
      <c r="E21" s="77">
        <f t="shared" ref="E21:P21" si="3">E17</f>
        <v>0</v>
      </c>
      <c r="F21" s="77">
        <f t="shared" si="3"/>
        <v>0</v>
      </c>
      <c r="G21" s="77">
        <f t="shared" si="3"/>
        <v>0</v>
      </c>
      <c r="H21" s="77">
        <f t="shared" si="3"/>
        <v>0.2</v>
      </c>
      <c r="I21" s="77">
        <f t="shared" si="3"/>
        <v>0</v>
      </c>
      <c r="J21" s="77">
        <f t="shared" si="3"/>
        <v>0.2</v>
      </c>
      <c r="K21" s="77">
        <f t="shared" si="3"/>
        <v>0</v>
      </c>
      <c r="L21" s="77">
        <f t="shared" si="3"/>
        <v>0.2</v>
      </c>
      <c r="M21" s="77">
        <f t="shared" si="3"/>
        <v>0</v>
      </c>
      <c r="N21" s="77">
        <f t="shared" si="3"/>
        <v>0</v>
      </c>
      <c r="O21" s="77">
        <f t="shared" si="3"/>
        <v>0.2</v>
      </c>
      <c r="P21" s="77">
        <f t="shared" si="3"/>
        <v>0.2</v>
      </c>
      <c r="Q21" s="25" t="s">
        <v>382</v>
      </c>
    </row>
    <row r="22" spans="1:17">
      <c r="A22" s="23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7"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7">
      <c r="A24" s="24" t="s">
        <v>7</v>
      </c>
      <c r="D24" s="77">
        <f>D10</f>
        <v>0</v>
      </c>
      <c r="E24" s="77">
        <f t="shared" ref="E24:P24" si="4">E10</f>
        <v>0.05</v>
      </c>
      <c r="F24" s="77">
        <f t="shared" si="4"/>
        <v>0.05</v>
      </c>
      <c r="G24" s="77">
        <f t="shared" si="4"/>
        <v>0.09</v>
      </c>
      <c r="H24" s="77">
        <f t="shared" si="4"/>
        <v>0.09</v>
      </c>
      <c r="I24" s="77">
        <f t="shared" si="4"/>
        <v>0.09</v>
      </c>
      <c r="J24" s="77">
        <f t="shared" si="4"/>
        <v>0.09</v>
      </c>
      <c r="K24" s="77">
        <f t="shared" si="4"/>
        <v>0.09</v>
      </c>
      <c r="L24" s="77">
        <f t="shared" si="4"/>
        <v>0.2</v>
      </c>
      <c r="M24" s="77">
        <f t="shared" si="4"/>
        <v>0.2</v>
      </c>
      <c r="N24" s="77">
        <f t="shared" si="4"/>
        <v>0.2</v>
      </c>
      <c r="O24" s="77">
        <f t="shared" si="4"/>
        <v>0.2</v>
      </c>
      <c r="P24" s="77">
        <f t="shared" si="4"/>
        <v>0.2</v>
      </c>
      <c r="Q24" s="25" t="s">
        <v>327</v>
      </c>
    </row>
    <row r="25" spans="1:17">
      <c r="A25" s="24" t="s">
        <v>31</v>
      </c>
      <c r="D25" s="77">
        <v>0</v>
      </c>
      <c r="E25" s="77">
        <v>0</v>
      </c>
      <c r="F25" s="77">
        <v>0</v>
      </c>
      <c r="G25" s="77">
        <v>0</v>
      </c>
      <c r="H25" s="77">
        <f>1/10</f>
        <v>0.1</v>
      </c>
      <c r="I25" s="77">
        <f>1/10</f>
        <v>0.1</v>
      </c>
      <c r="J25" s="77">
        <f t="shared" ref="J25:O25" si="5">1/10</f>
        <v>0.1</v>
      </c>
      <c r="K25" s="77">
        <f t="shared" si="5"/>
        <v>0.1</v>
      </c>
      <c r="L25" s="77">
        <f t="shared" si="5"/>
        <v>0.1</v>
      </c>
      <c r="M25" s="77">
        <f t="shared" si="5"/>
        <v>0.1</v>
      </c>
      <c r="N25" s="77">
        <f t="shared" si="5"/>
        <v>0.1</v>
      </c>
      <c r="O25" s="77">
        <f t="shared" si="5"/>
        <v>0.1</v>
      </c>
      <c r="P25" s="77">
        <f>1-SUM(H25:O25)</f>
        <v>0.20000000000000007</v>
      </c>
      <c r="Q25" s="25" t="s">
        <v>328</v>
      </c>
    </row>
    <row r="26" spans="1:17">
      <c r="A26" s="24" t="s">
        <v>32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25" t="s">
        <v>340</v>
      </c>
    </row>
    <row r="27" spans="1:17">
      <c r="A27" s="24" t="s">
        <v>33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0.25</v>
      </c>
      <c r="K27" s="77">
        <v>0</v>
      </c>
      <c r="L27" s="77">
        <v>0</v>
      </c>
      <c r="M27" s="77">
        <v>0.25</v>
      </c>
      <c r="N27" s="77">
        <v>0</v>
      </c>
      <c r="O27" s="77">
        <v>0</v>
      </c>
      <c r="P27" s="77">
        <v>0.5</v>
      </c>
      <c r="Q27" s="25" t="s">
        <v>374</v>
      </c>
    </row>
    <row r="28" spans="1:17">
      <c r="A28" s="24" t="s">
        <v>34</v>
      </c>
      <c r="D28" s="77">
        <v>0</v>
      </c>
      <c r="E28" s="77">
        <v>0</v>
      </c>
      <c r="F28" s="77">
        <v>0.5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0.25</v>
      </c>
      <c r="N28" s="77">
        <v>0</v>
      </c>
      <c r="O28" s="77">
        <v>0</v>
      </c>
      <c r="P28" s="77">
        <v>0.25</v>
      </c>
      <c r="Q28" s="25" t="s">
        <v>375</v>
      </c>
    </row>
    <row r="29" spans="1:17">
      <c r="A29" s="24" t="s">
        <v>8</v>
      </c>
      <c r="D29" s="77">
        <f>D10</f>
        <v>0</v>
      </c>
      <c r="E29" s="77">
        <f t="shared" ref="E29:P29" si="6">E10</f>
        <v>0.05</v>
      </c>
      <c r="F29" s="77">
        <f t="shared" si="6"/>
        <v>0.05</v>
      </c>
      <c r="G29" s="77">
        <f t="shared" si="6"/>
        <v>0.09</v>
      </c>
      <c r="H29" s="77">
        <f t="shared" si="6"/>
        <v>0.09</v>
      </c>
      <c r="I29" s="77">
        <f t="shared" si="6"/>
        <v>0.09</v>
      </c>
      <c r="J29" s="77">
        <f t="shared" si="6"/>
        <v>0.09</v>
      </c>
      <c r="K29" s="77">
        <f t="shared" si="6"/>
        <v>0.09</v>
      </c>
      <c r="L29" s="77">
        <f t="shared" si="6"/>
        <v>0.2</v>
      </c>
      <c r="M29" s="77">
        <f t="shared" si="6"/>
        <v>0.2</v>
      </c>
      <c r="N29" s="77">
        <f t="shared" si="6"/>
        <v>0.2</v>
      </c>
      <c r="O29" s="77">
        <f t="shared" si="6"/>
        <v>0.2</v>
      </c>
      <c r="P29" s="77">
        <f t="shared" si="6"/>
        <v>0.2</v>
      </c>
      <c r="Q29" s="25" t="s">
        <v>327</v>
      </c>
    </row>
    <row r="30" spans="1:17">
      <c r="A30" s="2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7"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7">
      <c r="A32" s="24" t="s">
        <v>9</v>
      </c>
      <c r="D32" s="77">
        <v>0</v>
      </c>
      <c r="E32" s="77">
        <v>0</v>
      </c>
      <c r="F32" s="77">
        <v>0</v>
      </c>
      <c r="G32" s="77">
        <v>0</v>
      </c>
      <c r="H32" s="77">
        <f>1/10</f>
        <v>0.1</v>
      </c>
      <c r="I32" s="77">
        <f>1/10</f>
        <v>0.1</v>
      </c>
      <c r="J32" s="77">
        <f t="shared" ref="J32:O32" si="7">1/10</f>
        <v>0.1</v>
      </c>
      <c r="K32" s="77">
        <f t="shared" si="7"/>
        <v>0.1</v>
      </c>
      <c r="L32" s="77">
        <f t="shared" si="7"/>
        <v>0.1</v>
      </c>
      <c r="M32" s="77">
        <f t="shared" si="7"/>
        <v>0.1</v>
      </c>
      <c r="N32" s="77">
        <f t="shared" si="7"/>
        <v>0.1</v>
      </c>
      <c r="O32" s="77">
        <f t="shared" si="7"/>
        <v>0.1</v>
      </c>
      <c r="P32" s="77">
        <f>1-SUM(H32:O32)</f>
        <v>0.20000000000000007</v>
      </c>
      <c r="Q32" s="25" t="s">
        <v>328</v>
      </c>
    </row>
    <row r="33" spans="1:17">
      <c r="A33" s="24" t="s">
        <v>11</v>
      </c>
      <c r="D33" s="77">
        <v>0</v>
      </c>
      <c r="E33" s="77">
        <v>0</v>
      </c>
      <c r="F33" s="77">
        <v>0</v>
      </c>
      <c r="G33" s="77">
        <v>0.25</v>
      </c>
      <c r="H33" s="77">
        <v>0</v>
      </c>
      <c r="I33" s="77">
        <v>0</v>
      </c>
      <c r="J33" s="77">
        <v>0.25</v>
      </c>
      <c r="K33" s="77">
        <v>0</v>
      </c>
      <c r="L33" s="77">
        <v>0</v>
      </c>
      <c r="M33" s="77">
        <v>0.25</v>
      </c>
      <c r="N33" s="77">
        <v>0</v>
      </c>
      <c r="O33" s="77">
        <v>0</v>
      </c>
      <c r="P33" s="77">
        <v>0.25</v>
      </c>
      <c r="Q33" s="25" t="s">
        <v>346</v>
      </c>
    </row>
    <row r="34" spans="1:17">
      <c r="A34" s="24" t="s">
        <v>12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f>1/6</f>
        <v>0.16666666666666666</v>
      </c>
      <c r="L34" s="77">
        <f>K34</f>
        <v>0.16666666666666666</v>
      </c>
      <c r="M34" s="77">
        <f t="shared" ref="M34:P35" si="8">L34</f>
        <v>0.16666666666666666</v>
      </c>
      <c r="N34" s="77">
        <f t="shared" si="8"/>
        <v>0.16666666666666666</v>
      </c>
      <c r="O34" s="77">
        <f t="shared" si="8"/>
        <v>0.16666666666666666</v>
      </c>
      <c r="P34" s="77">
        <f t="shared" si="8"/>
        <v>0.16666666666666666</v>
      </c>
      <c r="Q34" s="25" t="s">
        <v>345</v>
      </c>
    </row>
    <row r="35" spans="1:17">
      <c r="A35" s="24" t="s">
        <v>10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f>1/6</f>
        <v>0.16666666666666666</v>
      </c>
      <c r="L35" s="77">
        <f>K35</f>
        <v>0.16666666666666666</v>
      </c>
      <c r="M35" s="77">
        <f t="shared" si="8"/>
        <v>0.16666666666666666</v>
      </c>
      <c r="N35" s="77">
        <f t="shared" si="8"/>
        <v>0.16666666666666666</v>
      </c>
      <c r="O35" s="77">
        <f t="shared" si="8"/>
        <v>0.16666666666666666</v>
      </c>
      <c r="P35" s="77">
        <f t="shared" si="8"/>
        <v>0.16666666666666666</v>
      </c>
      <c r="Q35" s="25" t="s">
        <v>347</v>
      </c>
    </row>
    <row r="36" spans="1:17">
      <c r="A36" s="23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7">
      <c r="A37" s="23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7"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7"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7"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7">
      <c r="A41" s="24" t="s">
        <v>43</v>
      </c>
      <c r="D41" s="77">
        <v>0</v>
      </c>
      <c r="E41" s="77">
        <v>0.05</v>
      </c>
      <c r="F41" s="77">
        <v>0.1</v>
      </c>
      <c r="G41" s="77">
        <v>0.1</v>
      </c>
      <c r="H41" s="77">
        <v>0.1</v>
      </c>
      <c r="I41" s="77">
        <v>0.1</v>
      </c>
      <c r="J41" s="77">
        <v>0.1</v>
      </c>
      <c r="K41" s="77">
        <v>0.1</v>
      </c>
      <c r="L41" s="77">
        <v>0.1</v>
      </c>
      <c r="M41" s="77">
        <v>0.1</v>
      </c>
      <c r="N41" s="77">
        <v>0.1</v>
      </c>
      <c r="O41" s="77">
        <v>0.05</v>
      </c>
      <c r="P41" s="77">
        <v>0</v>
      </c>
      <c r="Q41" s="25" t="s">
        <v>351</v>
      </c>
    </row>
    <row r="42" spans="1:17">
      <c r="A42" s="24" t="s">
        <v>131</v>
      </c>
      <c r="D42" s="77">
        <f>D$41</f>
        <v>0</v>
      </c>
      <c r="E42" s="77">
        <f t="shared" ref="E42:P46" si="9">E$41</f>
        <v>0.05</v>
      </c>
      <c r="F42" s="77">
        <f t="shared" si="9"/>
        <v>0.1</v>
      </c>
      <c r="G42" s="77">
        <f t="shared" si="9"/>
        <v>0.1</v>
      </c>
      <c r="H42" s="77">
        <f t="shared" si="9"/>
        <v>0.1</v>
      </c>
      <c r="I42" s="77">
        <f t="shared" si="9"/>
        <v>0.1</v>
      </c>
      <c r="J42" s="77">
        <f t="shared" si="9"/>
        <v>0.1</v>
      </c>
      <c r="K42" s="77">
        <f t="shared" si="9"/>
        <v>0.1</v>
      </c>
      <c r="L42" s="77">
        <f t="shared" si="9"/>
        <v>0.1</v>
      </c>
      <c r="M42" s="77">
        <f t="shared" si="9"/>
        <v>0.1</v>
      </c>
      <c r="N42" s="77">
        <f t="shared" si="9"/>
        <v>0.1</v>
      </c>
      <c r="O42" s="77">
        <f t="shared" si="9"/>
        <v>0.05</v>
      </c>
      <c r="P42" s="77">
        <f t="shared" si="9"/>
        <v>0</v>
      </c>
    </row>
    <row r="43" spans="1:17">
      <c r="A43" s="24" t="s">
        <v>44</v>
      </c>
      <c r="D43" s="77">
        <f t="shared" ref="D43:D46" si="10">D$41</f>
        <v>0</v>
      </c>
      <c r="E43" s="77">
        <f t="shared" si="9"/>
        <v>0.05</v>
      </c>
      <c r="F43" s="77">
        <f t="shared" si="9"/>
        <v>0.1</v>
      </c>
      <c r="G43" s="77">
        <f t="shared" si="9"/>
        <v>0.1</v>
      </c>
      <c r="H43" s="77">
        <f t="shared" si="9"/>
        <v>0.1</v>
      </c>
      <c r="I43" s="77">
        <f t="shared" si="9"/>
        <v>0.1</v>
      </c>
      <c r="J43" s="77">
        <f t="shared" si="9"/>
        <v>0.1</v>
      </c>
      <c r="K43" s="77">
        <f t="shared" si="9"/>
        <v>0.1</v>
      </c>
      <c r="L43" s="77">
        <f t="shared" si="9"/>
        <v>0.1</v>
      </c>
      <c r="M43" s="77">
        <f t="shared" si="9"/>
        <v>0.1</v>
      </c>
      <c r="N43" s="77">
        <f t="shared" si="9"/>
        <v>0.1</v>
      </c>
      <c r="O43" s="77">
        <f t="shared" si="9"/>
        <v>0.05</v>
      </c>
      <c r="P43" s="77">
        <f t="shared" si="9"/>
        <v>0</v>
      </c>
    </row>
    <row r="44" spans="1:17">
      <c r="A44" s="24" t="s">
        <v>45</v>
      </c>
      <c r="D44" s="77">
        <f t="shared" si="10"/>
        <v>0</v>
      </c>
      <c r="E44" s="77">
        <f t="shared" si="9"/>
        <v>0.05</v>
      </c>
      <c r="F44" s="77">
        <f t="shared" si="9"/>
        <v>0.1</v>
      </c>
      <c r="G44" s="77">
        <f t="shared" si="9"/>
        <v>0.1</v>
      </c>
      <c r="H44" s="77">
        <f t="shared" si="9"/>
        <v>0.1</v>
      </c>
      <c r="I44" s="77">
        <f t="shared" si="9"/>
        <v>0.1</v>
      </c>
      <c r="J44" s="77">
        <f t="shared" si="9"/>
        <v>0.1</v>
      </c>
      <c r="K44" s="77">
        <f t="shared" si="9"/>
        <v>0.1</v>
      </c>
      <c r="L44" s="77">
        <f t="shared" si="9"/>
        <v>0.1</v>
      </c>
      <c r="M44" s="77">
        <f t="shared" si="9"/>
        <v>0.1</v>
      </c>
      <c r="N44" s="77">
        <f t="shared" si="9"/>
        <v>0.1</v>
      </c>
      <c r="O44" s="77">
        <f t="shared" si="9"/>
        <v>0.05</v>
      </c>
      <c r="P44" s="77">
        <f t="shared" si="9"/>
        <v>0</v>
      </c>
    </row>
    <row r="45" spans="1:17">
      <c r="A45" s="24" t="s">
        <v>288</v>
      </c>
      <c r="D45" s="77">
        <f t="shared" si="10"/>
        <v>0</v>
      </c>
      <c r="E45" s="77">
        <f t="shared" si="9"/>
        <v>0.05</v>
      </c>
      <c r="F45" s="77">
        <f t="shared" si="9"/>
        <v>0.1</v>
      </c>
      <c r="G45" s="77">
        <f t="shared" si="9"/>
        <v>0.1</v>
      </c>
      <c r="H45" s="77">
        <f t="shared" si="9"/>
        <v>0.1</v>
      </c>
      <c r="I45" s="77">
        <f t="shared" si="9"/>
        <v>0.1</v>
      </c>
      <c r="J45" s="77">
        <f t="shared" si="9"/>
        <v>0.1</v>
      </c>
      <c r="K45" s="77">
        <f t="shared" si="9"/>
        <v>0.1</v>
      </c>
      <c r="L45" s="77">
        <f t="shared" si="9"/>
        <v>0.1</v>
      </c>
      <c r="M45" s="77">
        <f t="shared" si="9"/>
        <v>0.1</v>
      </c>
      <c r="N45" s="77">
        <f t="shared" si="9"/>
        <v>0.1</v>
      </c>
      <c r="O45" s="77">
        <f t="shared" si="9"/>
        <v>0.05</v>
      </c>
      <c r="P45" s="77">
        <f t="shared" si="9"/>
        <v>0</v>
      </c>
    </row>
    <row r="46" spans="1:17">
      <c r="A46" s="24" t="s">
        <v>13</v>
      </c>
      <c r="D46" s="77">
        <f t="shared" si="10"/>
        <v>0</v>
      </c>
      <c r="E46" s="77">
        <f t="shared" si="9"/>
        <v>0.05</v>
      </c>
      <c r="F46" s="77">
        <f t="shared" si="9"/>
        <v>0.1</v>
      </c>
      <c r="G46" s="77">
        <f t="shared" si="9"/>
        <v>0.1</v>
      </c>
      <c r="H46" s="77">
        <f t="shared" si="9"/>
        <v>0.1</v>
      </c>
      <c r="I46" s="77">
        <f t="shared" si="9"/>
        <v>0.1</v>
      </c>
      <c r="J46" s="77">
        <f t="shared" si="9"/>
        <v>0.1</v>
      </c>
      <c r="K46" s="77">
        <f t="shared" si="9"/>
        <v>0.1</v>
      </c>
      <c r="L46" s="77">
        <f t="shared" si="9"/>
        <v>0.1</v>
      </c>
      <c r="M46" s="77">
        <f t="shared" si="9"/>
        <v>0.1</v>
      </c>
      <c r="N46" s="77">
        <f t="shared" si="9"/>
        <v>0.1</v>
      </c>
      <c r="O46" s="77">
        <f t="shared" si="9"/>
        <v>0.05</v>
      </c>
      <c r="P46" s="77">
        <f t="shared" si="9"/>
        <v>0</v>
      </c>
    </row>
    <row r="47" spans="1:17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7">
      <c r="A49" s="24" t="s">
        <v>47</v>
      </c>
      <c r="D49" s="77">
        <f>D$41</f>
        <v>0</v>
      </c>
      <c r="E49" s="77">
        <f t="shared" ref="E49:P54" si="11">E$41</f>
        <v>0.05</v>
      </c>
      <c r="F49" s="77">
        <f t="shared" si="11"/>
        <v>0.1</v>
      </c>
      <c r="G49" s="77">
        <f t="shared" si="11"/>
        <v>0.1</v>
      </c>
      <c r="H49" s="77">
        <f t="shared" si="11"/>
        <v>0.1</v>
      </c>
      <c r="I49" s="77">
        <f t="shared" si="11"/>
        <v>0.1</v>
      </c>
      <c r="J49" s="77">
        <f t="shared" si="11"/>
        <v>0.1</v>
      </c>
      <c r="K49" s="77">
        <f t="shared" si="11"/>
        <v>0.1</v>
      </c>
      <c r="L49" s="77">
        <f t="shared" si="11"/>
        <v>0.1</v>
      </c>
      <c r="M49" s="77">
        <f t="shared" si="11"/>
        <v>0.1</v>
      </c>
      <c r="N49" s="77">
        <f t="shared" si="11"/>
        <v>0.1</v>
      </c>
      <c r="O49" s="77">
        <f t="shared" si="11"/>
        <v>0.05</v>
      </c>
      <c r="P49" s="77">
        <f t="shared" si="11"/>
        <v>0</v>
      </c>
      <c r="Q49" s="25" t="s">
        <v>351</v>
      </c>
    </row>
    <row r="50" spans="1:17">
      <c r="A50" s="24" t="s">
        <v>14</v>
      </c>
      <c r="D50" s="77">
        <f t="shared" ref="D50:D54" si="12">D$41</f>
        <v>0</v>
      </c>
      <c r="E50" s="77">
        <f t="shared" si="11"/>
        <v>0.05</v>
      </c>
      <c r="F50" s="77">
        <f t="shared" si="11"/>
        <v>0.1</v>
      </c>
      <c r="G50" s="77">
        <f t="shared" si="11"/>
        <v>0.1</v>
      </c>
      <c r="H50" s="77">
        <f t="shared" si="11"/>
        <v>0.1</v>
      </c>
      <c r="I50" s="77">
        <f t="shared" si="11"/>
        <v>0.1</v>
      </c>
      <c r="J50" s="77">
        <f t="shared" si="11"/>
        <v>0.1</v>
      </c>
      <c r="K50" s="77">
        <f t="shared" si="11"/>
        <v>0.1</v>
      </c>
      <c r="L50" s="77">
        <f t="shared" si="11"/>
        <v>0.1</v>
      </c>
      <c r="M50" s="77">
        <f t="shared" si="11"/>
        <v>0.1</v>
      </c>
      <c r="N50" s="77">
        <f t="shared" si="11"/>
        <v>0.1</v>
      </c>
      <c r="O50" s="77">
        <f t="shared" si="11"/>
        <v>0.05</v>
      </c>
      <c r="P50" s="77">
        <f t="shared" si="11"/>
        <v>0</v>
      </c>
    </row>
    <row r="51" spans="1:17">
      <c r="A51" s="24" t="s">
        <v>48</v>
      </c>
      <c r="D51" s="77">
        <f t="shared" si="12"/>
        <v>0</v>
      </c>
      <c r="E51" s="77">
        <f t="shared" si="11"/>
        <v>0.05</v>
      </c>
      <c r="F51" s="77">
        <f t="shared" si="11"/>
        <v>0.1</v>
      </c>
      <c r="G51" s="77">
        <f t="shared" si="11"/>
        <v>0.1</v>
      </c>
      <c r="H51" s="77">
        <f t="shared" si="11"/>
        <v>0.1</v>
      </c>
      <c r="I51" s="77">
        <f t="shared" si="11"/>
        <v>0.1</v>
      </c>
      <c r="J51" s="77">
        <f t="shared" si="11"/>
        <v>0.1</v>
      </c>
      <c r="K51" s="77">
        <f t="shared" si="11"/>
        <v>0.1</v>
      </c>
      <c r="L51" s="77">
        <f t="shared" si="11"/>
        <v>0.1</v>
      </c>
      <c r="M51" s="77">
        <f t="shared" si="11"/>
        <v>0.1</v>
      </c>
      <c r="N51" s="77">
        <f t="shared" si="11"/>
        <v>0.1</v>
      </c>
      <c r="O51" s="77">
        <f t="shared" si="11"/>
        <v>0.05</v>
      </c>
      <c r="P51" s="77">
        <f t="shared" si="11"/>
        <v>0</v>
      </c>
    </row>
    <row r="52" spans="1:17">
      <c r="A52" s="24" t="s">
        <v>49</v>
      </c>
      <c r="D52" s="77">
        <f t="shared" si="12"/>
        <v>0</v>
      </c>
      <c r="E52" s="77">
        <f t="shared" si="11"/>
        <v>0.05</v>
      </c>
      <c r="F52" s="77">
        <f t="shared" si="11"/>
        <v>0.1</v>
      </c>
      <c r="G52" s="77">
        <f t="shared" si="11"/>
        <v>0.1</v>
      </c>
      <c r="H52" s="77">
        <f t="shared" si="11"/>
        <v>0.1</v>
      </c>
      <c r="I52" s="77">
        <f t="shared" si="11"/>
        <v>0.1</v>
      </c>
      <c r="J52" s="77">
        <f t="shared" si="11"/>
        <v>0.1</v>
      </c>
      <c r="K52" s="77">
        <f t="shared" si="11"/>
        <v>0.1</v>
      </c>
      <c r="L52" s="77">
        <f t="shared" si="11"/>
        <v>0.1</v>
      </c>
      <c r="M52" s="77">
        <f t="shared" si="11"/>
        <v>0.1</v>
      </c>
      <c r="N52" s="77">
        <f t="shared" si="11"/>
        <v>0.1</v>
      </c>
      <c r="O52" s="77">
        <f t="shared" si="11"/>
        <v>0.05</v>
      </c>
      <c r="P52" s="77">
        <f t="shared" si="11"/>
        <v>0</v>
      </c>
    </row>
    <row r="53" spans="1:17">
      <c r="A53" s="24" t="s">
        <v>294</v>
      </c>
      <c r="D53" s="77">
        <f t="shared" si="12"/>
        <v>0</v>
      </c>
      <c r="E53" s="77">
        <f t="shared" si="11"/>
        <v>0.05</v>
      </c>
      <c r="F53" s="77">
        <f t="shared" si="11"/>
        <v>0.1</v>
      </c>
      <c r="G53" s="77">
        <f t="shared" si="11"/>
        <v>0.1</v>
      </c>
      <c r="H53" s="77">
        <f t="shared" si="11"/>
        <v>0.1</v>
      </c>
      <c r="I53" s="77">
        <f t="shared" si="11"/>
        <v>0.1</v>
      </c>
      <c r="J53" s="77">
        <f t="shared" si="11"/>
        <v>0.1</v>
      </c>
      <c r="K53" s="77">
        <f t="shared" si="11"/>
        <v>0.1</v>
      </c>
      <c r="L53" s="77">
        <f t="shared" si="11"/>
        <v>0.1</v>
      </c>
      <c r="M53" s="77">
        <f t="shared" si="11"/>
        <v>0.1</v>
      </c>
      <c r="N53" s="77">
        <f t="shared" si="11"/>
        <v>0.1</v>
      </c>
      <c r="O53" s="77">
        <f t="shared" si="11"/>
        <v>0.05</v>
      </c>
      <c r="P53" s="77">
        <f t="shared" si="11"/>
        <v>0</v>
      </c>
    </row>
    <row r="54" spans="1:17">
      <c r="A54" s="24" t="s">
        <v>50</v>
      </c>
      <c r="D54" s="77">
        <f t="shared" si="12"/>
        <v>0</v>
      </c>
      <c r="E54" s="77">
        <f t="shared" si="11"/>
        <v>0.05</v>
      </c>
      <c r="F54" s="77">
        <f t="shared" si="11"/>
        <v>0.1</v>
      </c>
      <c r="G54" s="77">
        <f t="shared" si="11"/>
        <v>0.1</v>
      </c>
      <c r="H54" s="77">
        <f t="shared" si="11"/>
        <v>0.1</v>
      </c>
      <c r="I54" s="77">
        <f t="shared" si="11"/>
        <v>0.1</v>
      </c>
      <c r="J54" s="77">
        <f t="shared" si="11"/>
        <v>0.1</v>
      </c>
      <c r="K54" s="77">
        <f t="shared" si="11"/>
        <v>0.1</v>
      </c>
      <c r="L54" s="77">
        <f t="shared" si="11"/>
        <v>0.1</v>
      </c>
      <c r="M54" s="77">
        <f t="shared" si="11"/>
        <v>0.1</v>
      </c>
      <c r="N54" s="77">
        <f t="shared" si="11"/>
        <v>0.1</v>
      </c>
      <c r="O54" s="77">
        <f t="shared" si="11"/>
        <v>0.05</v>
      </c>
      <c r="P54" s="77">
        <f t="shared" si="11"/>
        <v>0</v>
      </c>
    </row>
    <row r="55" spans="1:17"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7"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7">
      <c r="A57" s="24" t="s">
        <v>15</v>
      </c>
      <c r="D57" s="77">
        <f>D$41</f>
        <v>0</v>
      </c>
      <c r="E57" s="77">
        <f t="shared" ref="E57:P60" si="13">E$41</f>
        <v>0.05</v>
      </c>
      <c r="F57" s="77">
        <f t="shared" si="13"/>
        <v>0.1</v>
      </c>
      <c r="G57" s="77">
        <f t="shared" si="13"/>
        <v>0.1</v>
      </c>
      <c r="H57" s="77">
        <f t="shared" si="13"/>
        <v>0.1</v>
      </c>
      <c r="I57" s="77">
        <f t="shared" si="13"/>
        <v>0.1</v>
      </c>
      <c r="J57" s="77">
        <f t="shared" si="13"/>
        <v>0.1</v>
      </c>
      <c r="K57" s="77">
        <f t="shared" si="13"/>
        <v>0.1</v>
      </c>
      <c r="L57" s="77">
        <f t="shared" si="13"/>
        <v>0.1</v>
      </c>
      <c r="M57" s="77">
        <f t="shared" si="13"/>
        <v>0.1</v>
      </c>
      <c r="N57" s="77">
        <f t="shared" si="13"/>
        <v>0.1</v>
      </c>
      <c r="O57" s="77">
        <f t="shared" si="13"/>
        <v>0.05</v>
      </c>
      <c r="P57" s="77">
        <f t="shared" si="13"/>
        <v>0</v>
      </c>
      <c r="Q57" s="25" t="s">
        <v>348</v>
      </c>
    </row>
    <row r="58" spans="1:17">
      <c r="A58" s="24" t="s">
        <v>16</v>
      </c>
      <c r="D58" s="77">
        <f t="shared" ref="D58:D60" si="14">D$41</f>
        <v>0</v>
      </c>
      <c r="E58" s="77">
        <f t="shared" si="13"/>
        <v>0.05</v>
      </c>
      <c r="F58" s="77">
        <f t="shared" si="13"/>
        <v>0.1</v>
      </c>
      <c r="G58" s="77">
        <f t="shared" si="13"/>
        <v>0.1</v>
      </c>
      <c r="H58" s="77">
        <f t="shared" si="13"/>
        <v>0.1</v>
      </c>
      <c r="I58" s="77">
        <f t="shared" si="13"/>
        <v>0.1</v>
      </c>
      <c r="J58" s="77">
        <f t="shared" si="13"/>
        <v>0.1</v>
      </c>
      <c r="K58" s="77">
        <f t="shared" si="13"/>
        <v>0.1</v>
      </c>
      <c r="L58" s="77">
        <f t="shared" si="13"/>
        <v>0.1</v>
      </c>
      <c r="M58" s="77">
        <f t="shared" si="13"/>
        <v>0.1</v>
      </c>
      <c r="N58" s="77">
        <f t="shared" si="13"/>
        <v>0.1</v>
      </c>
      <c r="O58" s="77">
        <f t="shared" si="13"/>
        <v>0.05</v>
      </c>
      <c r="P58" s="77">
        <f t="shared" si="13"/>
        <v>0</v>
      </c>
      <c r="Q58" s="25" t="s">
        <v>348</v>
      </c>
    </row>
    <row r="59" spans="1:17">
      <c r="A59" s="24" t="s">
        <v>17</v>
      </c>
      <c r="D59" s="77">
        <f t="shared" si="14"/>
        <v>0</v>
      </c>
      <c r="E59" s="77">
        <f t="shared" si="13"/>
        <v>0.05</v>
      </c>
      <c r="F59" s="77">
        <f t="shared" si="13"/>
        <v>0.1</v>
      </c>
      <c r="G59" s="77">
        <f t="shared" si="13"/>
        <v>0.1</v>
      </c>
      <c r="H59" s="77">
        <f t="shared" si="13"/>
        <v>0.1</v>
      </c>
      <c r="I59" s="77">
        <f t="shared" si="13"/>
        <v>0.1</v>
      </c>
      <c r="J59" s="77">
        <f t="shared" si="13"/>
        <v>0.1</v>
      </c>
      <c r="K59" s="77">
        <f t="shared" si="13"/>
        <v>0.1</v>
      </c>
      <c r="L59" s="77">
        <f t="shared" si="13"/>
        <v>0.1</v>
      </c>
      <c r="M59" s="77">
        <f t="shared" si="13"/>
        <v>0.1</v>
      </c>
      <c r="N59" s="77">
        <f t="shared" si="13"/>
        <v>0.1</v>
      </c>
      <c r="O59" s="77">
        <f t="shared" si="13"/>
        <v>0.05</v>
      </c>
      <c r="P59" s="77">
        <f t="shared" si="13"/>
        <v>0</v>
      </c>
      <c r="Q59" s="25" t="s">
        <v>348</v>
      </c>
    </row>
    <row r="60" spans="1:17">
      <c r="A60" s="24" t="s">
        <v>55</v>
      </c>
      <c r="D60" s="77">
        <f t="shared" si="14"/>
        <v>0</v>
      </c>
      <c r="E60" s="77">
        <f t="shared" si="13"/>
        <v>0.05</v>
      </c>
      <c r="F60" s="77">
        <f t="shared" si="13"/>
        <v>0.1</v>
      </c>
      <c r="G60" s="77">
        <f t="shared" si="13"/>
        <v>0.1</v>
      </c>
      <c r="H60" s="77">
        <f t="shared" si="13"/>
        <v>0.1</v>
      </c>
      <c r="I60" s="77">
        <f t="shared" si="13"/>
        <v>0.1</v>
      </c>
      <c r="J60" s="77">
        <f t="shared" si="13"/>
        <v>0.1</v>
      </c>
      <c r="K60" s="77">
        <f t="shared" si="13"/>
        <v>0.1</v>
      </c>
      <c r="L60" s="77">
        <f t="shared" si="13"/>
        <v>0.1</v>
      </c>
      <c r="M60" s="77">
        <f t="shared" si="13"/>
        <v>0.1</v>
      </c>
      <c r="N60" s="77">
        <f t="shared" si="13"/>
        <v>0.1</v>
      </c>
      <c r="O60" s="77">
        <f t="shared" si="13"/>
        <v>0.05</v>
      </c>
      <c r="P60" s="77">
        <f t="shared" si="13"/>
        <v>0</v>
      </c>
      <c r="Q60" s="25" t="s">
        <v>348</v>
      </c>
    </row>
    <row r="61" spans="1:17">
      <c r="A61" s="24" t="s">
        <v>56</v>
      </c>
      <c r="D61" s="77">
        <f>1/12</f>
        <v>8.3333333333333329E-2</v>
      </c>
      <c r="E61" s="77">
        <f t="shared" ref="E61:O61" si="15">1/12</f>
        <v>8.3333333333333329E-2</v>
      </c>
      <c r="F61" s="77">
        <f t="shared" si="15"/>
        <v>8.3333333333333329E-2</v>
      </c>
      <c r="G61" s="77">
        <f t="shared" si="15"/>
        <v>8.3333333333333329E-2</v>
      </c>
      <c r="H61" s="77">
        <f t="shared" si="15"/>
        <v>8.3333333333333329E-2</v>
      </c>
      <c r="I61" s="77">
        <f t="shared" si="15"/>
        <v>8.3333333333333329E-2</v>
      </c>
      <c r="J61" s="77">
        <f t="shared" si="15"/>
        <v>8.3333333333333329E-2</v>
      </c>
      <c r="K61" s="77">
        <f t="shared" si="15"/>
        <v>8.3333333333333329E-2</v>
      </c>
      <c r="L61" s="77">
        <f t="shared" si="15"/>
        <v>8.3333333333333329E-2</v>
      </c>
      <c r="M61" s="77">
        <f t="shared" si="15"/>
        <v>8.3333333333333329E-2</v>
      </c>
      <c r="N61" s="77">
        <f t="shared" si="15"/>
        <v>8.3333333333333329E-2</v>
      </c>
      <c r="O61" s="77">
        <f t="shared" si="15"/>
        <v>8.3333333333333329E-2</v>
      </c>
      <c r="P61" s="77">
        <v>0</v>
      </c>
      <c r="Q61" s="25" t="s">
        <v>349</v>
      </c>
    </row>
    <row r="62" spans="1:17">
      <c r="A62" s="24" t="s">
        <v>57</v>
      </c>
      <c r="D62" s="77">
        <f>D41</f>
        <v>0</v>
      </c>
      <c r="E62" s="77">
        <f t="shared" ref="E62:P62" si="16">E41</f>
        <v>0.05</v>
      </c>
      <c r="F62" s="77">
        <f t="shared" si="16"/>
        <v>0.1</v>
      </c>
      <c r="G62" s="77">
        <f t="shared" si="16"/>
        <v>0.1</v>
      </c>
      <c r="H62" s="77">
        <f t="shared" si="16"/>
        <v>0.1</v>
      </c>
      <c r="I62" s="77">
        <f t="shared" si="16"/>
        <v>0.1</v>
      </c>
      <c r="J62" s="77">
        <f t="shared" si="16"/>
        <v>0.1</v>
      </c>
      <c r="K62" s="77">
        <f t="shared" si="16"/>
        <v>0.1</v>
      </c>
      <c r="L62" s="77">
        <f t="shared" si="16"/>
        <v>0.1</v>
      </c>
      <c r="M62" s="77">
        <f t="shared" si="16"/>
        <v>0.1</v>
      </c>
      <c r="N62" s="77">
        <f t="shared" si="16"/>
        <v>0.1</v>
      </c>
      <c r="O62" s="77">
        <f t="shared" si="16"/>
        <v>0.05</v>
      </c>
      <c r="P62" s="77">
        <f t="shared" si="16"/>
        <v>0</v>
      </c>
      <c r="Q62" s="25" t="s">
        <v>348</v>
      </c>
    </row>
    <row r="63" spans="1:17">
      <c r="A63" s="24" t="s">
        <v>18</v>
      </c>
      <c r="D63" s="77">
        <v>0.3</v>
      </c>
      <c r="E63" s="77">
        <f>(1-D63)/11</f>
        <v>6.363636363636363E-2</v>
      </c>
      <c r="F63" s="77">
        <f>E63</f>
        <v>6.363636363636363E-2</v>
      </c>
      <c r="G63" s="77">
        <f t="shared" ref="G63:O63" si="17">F63</f>
        <v>6.363636363636363E-2</v>
      </c>
      <c r="H63" s="77">
        <f t="shared" si="17"/>
        <v>6.363636363636363E-2</v>
      </c>
      <c r="I63" s="77">
        <f t="shared" si="17"/>
        <v>6.363636363636363E-2</v>
      </c>
      <c r="J63" s="77">
        <f t="shared" si="17"/>
        <v>6.363636363636363E-2</v>
      </c>
      <c r="K63" s="77">
        <f t="shared" si="17"/>
        <v>6.363636363636363E-2</v>
      </c>
      <c r="L63" s="77">
        <f t="shared" si="17"/>
        <v>6.363636363636363E-2</v>
      </c>
      <c r="M63" s="77">
        <f t="shared" si="17"/>
        <v>6.363636363636363E-2</v>
      </c>
      <c r="N63" s="77">
        <f t="shared" si="17"/>
        <v>6.363636363636363E-2</v>
      </c>
      <c r="O63" s="77">
        <f t="shared" si="17"/>
        <v>6.363636363636363E-2</v>
      </c>
      <c r="P63" s="77">
        <v>0</v>
      </c>
      <c r="Q63" s="25" t="s">
        <v>350</v>
      </c>
    </row>
    <row r="64" spans="1:17">
      <c r="A64" s="24" t="s">
        <v>19</v>
      </c>
      <c r="D64" s="77">
        <f>D$41</f>
        <v>0</v>
      </c>
      <c r="E64" s="77">
        <f t="shared" ref="E64:P65" si="18">E$41</f>
        <v>0.05</v>
      </c>
      <c r="F64" s="77">
        <f t="shared" si="18"/>
        <v>0.1</v>
      </c>
      <c r="G64" s="77">
        <f t="shared" si="18"/>
        <v>0.1</v>
      </c>
      <c r="H64" s="77">
        <f t="shared" si="18"/>
        <v>0.1</v>
      </c>
      <c r="I64" s="77">
        <f t="shared" si="18"/>
        <v>0.1</v>
      </c>
      <c r="J64" s="77">
        <f t="shared" si="18"/>
        <v>0.1</v>
      </c>
      <c r="K64" s="77">
        <f t="shared" si="18"/>
        <v>0.1</v>
      </c>
      <c r="L64" s="77">
        <f t="shared" si="18"/>
        <v>0.1</v>
      </c>
      <c r="M64" s="77">
        <f t="shared" si="18"/>
        <v>0.1</v>
      </c>
      <c r="N64" s="77">
        <f t="shared" si="18"/>
        <v>0.1</v>
      </c>
      <c r="O64" s="77">
        <f t="shared" si="18"/>
        <v>0.05</v>
      </c>
      <c r="P64" s="77">
        <f t="shared" si="18"/>
        <v>0</v>
      </c>
      <c r="Q64" s="25" t="s">
        <v>348</v>
      </c>
    </row>
    <row r="65" spans="1:17">
      <c r="A65" s="24" t="s">
        <v>184</v>
      </c>
      <c r="D65" s="77">
        <f>D$41</f>
        <v>0</v>
      </c>
      <c r="E65" s="77">
        <f t="shared" si="18"/>
        <v>0.05</v>
      </c>
      <c r="F65" s="77">
        <f t="shared" si="18"/>
        <v>0.1</v>
      </c>
      <c r="G65" s="77">
        <f t="shared" si="18"/>
        <v>0.1</v>
      </c>
      <c r="H65" s="77">
        <f t="shared" si="18"/>
        <v>0.1</v>
      </c>
      <c r="I65" s="77">
        <f t="shared" si="18"/>
        <v>0.1</v>
      </c>
      <c r="J65" s="77">
        <f t="shared" si="18"/>
        <v>0.1</v>
      </c>
      <c r="K65" s="77">
        <f t="shared" si="18"/>
        <v>0.1</v>
      </c>
      <c r="L65" s="77">
        <f t="shared" si="18"/>
        <v>0.1</v>
      </c>
      <c r="M65" s="77">
        <f t="shared" si="18"/>
        <v>0.1</v>
      </c>
      <c r="N65" s="77">
        <f t="shared" si="18"/>
        <v>0.1</v>
      </c>
      <c r="O65" s="77">
        <f t="shared" si="18"/>
        <v>0.05</v>
      </c>
      <c r="P65" s="77">
        <f t="shared" si="18"/>
        <v>0</v>
      </c>
      <c r="Q65" s="25" t="s">
        <v>348</v>
      </c>
    </row>
    <row r="66" spans="1:17"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1:17"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7">
      <c r="A68" s="24" t="s">
        <v>63</v>
      </c>
      <c r="D68" s="77">
        <f>(75%/3)</f>
        <v>0.25</v>
      </c>
      <c r="E68" s="77">
        <f>(75%/3)</f>
        <v>0.25</v>
      </c>
      <c r="F68" s="77">
        <f>(75%/3)</f>
        <v>0.25</v>
      </c>
      <c r="G68" s="77">
        <f>25%/9</f>
        <v>2.7777777777777776E-2</v>
      </c>
      <c r="H68" s="77">
        <f t="shared" ref="H68:O72" si="19">25%/9</f>
        <v>2.7777777777777776E-2</v>
      </c>
      <c r="I68" s="77">
        <f t="shared" si="19"/>
        <v>2.7777777777777776E-2</v>
      </c>
      <c r="J68" s="77">
        <f t="shared" si="19"/>
        <v>2.7777777777777776E-2</v>
      </c>
      <c r="K68" s="77">
        <f t="shared" si="19"/>
        <v>2.7777777777777776E-2</v>
      </c>
      <c r="L68" s="77">
        <f t="shared" si="19"/>
        <v>2.7777777777777776E-2</v>
      </c>
      <c r="M68" s="77">
        <f t="shared" si="19"/>
        <v>2.7777777777777776E-2</v>
      </c>
      <c r="N68" s="77">
        <f t="shared" si="19"/>
        <v>2.7777777777777776E-2</v>
      </c>
      <c r="O68" s="77">
        <f t="shared" si="19"/>
        <v>2.7777777777777776E-2</v>
      </c>
      <c r="P68" s="77">
        <v>0</v>
      </c>
      <c r="Q68" s="25" t="s">
        <v>380</v>
      </c>
    </row>
    <row r="69" spans="1:17">
      <c r="A69" s="24" t="s">
        <v>64</v>
      </c>
      <c r="D69" s="77">
        <f t="shared" ref="D69:F72" si="20">(75%/3)</f>
        <v>0.25</v>
      </c>
      <c r="E69" s="77">
        <f t="shared" si="20"/>
        <v>0.25</v>
      </c>
      <c r="F69" s="77">
        <f t="shared" si="20"/>
        <v>0.25</v>
      </c>
      <c r="G69" s="77">
        <f t="shared" ref="G69:G72" si="21">25%/9</f>
        <v>2.7777777777777776E-2</v>
      </c>
      <c r="H69" s="77">
        <f t="shared" si="19"/>
        <v>2.7777777777777776E-2</v>
      </c>
      <c r="I69" s="77">
        <f t="shared" si="19"/>
        <v>2.7777777777777776E-2</v>
      </c>
      <c r="J69" s="77">
        <f t="shared" si="19"/>
        <v>2.7777777777777776E-2</v>
      </c>
      <c r="K69" s="77">
        <f t="shared" si="19"/>
        <v>2.7777777777777776E-2</v>
      </c>
      <c r="L69" s="77">
        <f t="shared" si="19"/>
        <v>2.7777777777777776E-2</v>
      </c>
      <c r="M69" s="77">
        <f t="shared" si="19"/>
        <v>2.7777777777777776E-2</v>
      </c>
      <c r="N69" s="77">
        <f t="shared" si="19"/>
        <v>2.7777777777777776E-2</v>
      </c>
      <c r="O69" s="77">
        <f t="shared" si="19"/>
        <v>2.7777777777777776E-2</v>
      </c>
      <c r="P69" s="77">
        <v>0</v>
      </c>
      <c r="Q69" s="25" t="s">
        <v>380</v>
      </c>
    </row>
    <row r="70" spans="1:17">
      <c r="A70" s="24" t="s">
        <v>20</v>
      </c>
      <c r="D70" s="77">
        <f t="shared" si="20"/>
        <v>0.25</v>
      </c>
      <c r="E70" s="77">
        <f t="shared" si="20"/>
        <v>0.25</v>
      </c>
      <c r="F70" s="77">
        <f t="shared" si="20"/>
        <v>0.25</v>
      </c>
      <c r="G70" s="77">
        <f t="shared" si="21"/>
        <v>2.7777777777777776E-2</v>
      </c>
      <c r="H70" s="77">
        <f t="shared" si="19"/>
        <v>2.7777777777777776E-2</v>
      </c>
      <c r="I70" s="77">
        <f t="shared" si="19"/>
        <v>2.7777777777777776E-2</v>
      </c>
      <c r="J70" s="77">
        <f t="shared" si="19"/>
        <v>2.7777777777777776E-2</v>
      </c>
      <c r="K70" s="77">
        <f t="shared" si="19"/>
        <v>2.7777777777777776E-2</v>
      </c>
      <c r="L70" s="77">
        <f t="shared" si="19"/>
        <v>2.7777777777777776E-2</v>
      </c>
      <c r="M70" s="77">
        <f t="shared" si="19"/>
        <v>2.7777777777777776E-2</v>
      </c>
      <c r="N70" s="77">
        <f t="shared" si="19"/>
        <v>2.7777777777777776E-2</v>
      </c>
      <c r="O70" s="77">
        <f t="shared" si="19"/>
        <v>2.7777777777777776E-2</v>
      </c>
      <c r="P70" s="77">
        <v>0</v>
      </c>
      <c r="Q70" s="25" t="s">
        <v>380</v>
      </c>
    </row>
    <row r="71" spans="1:17">
      <c r="A71" s="24" t="s">
        <v>21</v>
      </c>
      <c r="D71" s="77">
        <f t="shared" si="20"/>
        <v>0.25</v>
      </c>
      <c r="E71" s="77">
        <f t="shared" si="20"/>
        <v>0.25</v>
      </c>
      <c r="F71" s="77">
        <f t="shared" si="20"/>
        <v>0.25</v>
      </c>
      <c r="G71" s="77">
        <f t="shared" si="21"/>
        <v>2.7777777777777776E-2</v>
      </c>
      <c r="H71" s="77">
        <f t="shared" si="19"/>
        <v>2.7777777777777776E-2</v>
      </c>
      <c r="I71" s="77">
        <f t="shared" si="19"/>
        <v>2.7777777777777776E-2</v>
      </c>
      <c r="J71" s="77">
        <f t="shared" si="19"/>
        <v>2.7777777777777776E-2</v>
      </c>
      <c r="K71" s="77">
        <f t="shared" si="19"/>
        <v>2.7777777777777776E-2</v>
      </c>
      <c r="L71" s="77">
        <f t="shared" si="19"/>
        <v>2.7777777777777776E-2</v>
      </c>
      <c r="M71" s="77">
        <f t="shared" si="19"/>
        <v>2.7777777777777776E-2</v>
      </c>
      <c r="N71" s="77">
        <f t="shared" si="19"/>
        <v>2.7777777777777776E-2</v>
      </c>
      <c r="O71" s="77">
        <f t="shared" si="19"/>
        <v>2.7777777777777776E-2</v>
      </c>
      <c r="P71" s="77">
        <v>0</v>
      </c>
      <c r="Q71" s="25" t="s">
        <v>380</v>
      </c>
    </row>
    <row r="72" spans="1:17">
      <c r="A72" s="24" t="s">
        <v>53</v>
      </c>
      <c r="D72" s="77">
        <f t="shared" si="20"/>
        <v>0.25</v>
      </c>
      <c r="E72" s="77">
        <f t="shared" si="20"/>
        <v>0.25</v>
      </c>
      <c r="F72" s="77">
        <f t="shared" si="20"/>
        <v>0.25</v>
      </c>
      <c r="G72" s="77">
        <f t="shared" si="21"/>
        <v>2.7777777777777776E-2</v>
      </c>
      <c r="H72" s="77">
        <f t="shared" si="19"/>
        <v>2.7777777777777776E-2</v>
      </c>
      <c r="I72" s="77">
        <f t="shared" si="19"/>
        <v>2.7777777777777776E-2</v>
      </c>
      <c r="J72" s="77">
        <f t="shared" si="19"/>
        <v>2.7777777777777776E-2</v>
      </c>
      <c r="K72" s="77">
        <f t="shared" si="19"/>
        <v>2.7777777777777776E-2</v>
      </c>
      <c r="L72" s="77">
        <f t="shared" si="19"/>
        <v>2.7777777777777776E-2</v>
      </c>
      <c r="M72" s="77">
        <f t="shared" si="19"/>
        <v>2.7777777777777776E-2</v>
      </c>
      <c r="N72" s="77">
        <f t="shared" si="19"/>
        <v>2.7777777777777776E-2</v>
      </c>
      <c r="O72" s="77">
        <f t="shared" si="19"/>
        <v>2.7777777777777776E-2</v>
      </c>
      <c r="P72" s="77">
        <v>0</v>
      </c>
      <c r="Q72" s="25" t="s">
        <v>380</v>
      </c>
    </row>
    <row r="73" spans="1:17">
      <c r="A73" s="24" t="s">
        <v>54</v>
      </c>
      <c r="D73" s="77">
        <v>0</v>
      </c>
      <c r="E73" s="77">
        <v>0.05</v>
      </c>
      <c r="F73" s="77">
        <v>0.1</v>
      </c>
      <c r="G73" s="77">
        <v>0.1</v>
      </c>
      <c r="H73" s="77">
        <v>0.1</v>
      </c>
      <c r="I73" s="77">
        <v>0.1</v>
      </c>
      <c r="J73" s="77">
        <v>0.1</v>
      </c>
      <c r="K73" s="77">
        <v>0.1</v>
      </c>
      <c r="L73" s="77">
        <v>0.1</v>
      </c>
      <c r="M73" s="77">
        <v>0.1</v>
      </c>
      <c r="N73" s="77">
        <v>0.1</v>
      </c>
      <c r="O73" s="77">
        <v>0.05</v>
      </c>
      <c r="P73" s="77">
        <v>0</v>
      </c>
      <c r="Q73" s="25" t="s">
        <v>352</v>
      </c>
    </row>
    <row r="74" spans="1:17"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1:17"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1:17">
      <c r="A76" s="24" t="s">
        <v>22</v>
      </c>
      <c r="D76" s="77">
        <f>1/12</f>
        <v>8.3333333333333329E-2</v>
      </c>
      <c r="E76" s="77">
        <f t="shared" ref="E76:O98" si="22">1/12</f>
        <v>8.3333333333333329E-2</v>
      </c>
      <c r="F76" s="77">
        <f t="shared" si="22"/>
        <v>8.3333333333333329E-2</v>
      </c>
      <c r="G76" s="77">
        <f t="shared" si="22"/>
        <v>8.3333333333333329E-2</v>
      </c>
      <c r="H76" s="77">
        <f t="shared" si="22"/>
        <v>8.3333333333333329E-2</v>
      </c>
      <c r="I76" s="77">
        <f t="shared" si="22"/>
        <v>8.3333333333333329E-2</v>
      </c>
      <c r="J76" s="77">
        <f t="shared" si="22"/>
        <v>8.3333333333333329E-2</v>
      </c>
      <c r="K76" s="77">
        <f t="shared" si="22"/>
        <v>8.3333333333333329E-2</v>
      </c>
      <c r="L76" s="77">
        <f t="shared" si="22"/>
        <v>8.3333333333333329E-2</v>
      </c>
      <c r="M76" s="77">
        <f t="shared" si="22"/>
        <v>8.3333333333333329E-2</v>
      </c>
      <c r="N76" s="77">
        <f t="shared" si="22"/>
        <v>8.3333333333333329E-2</v>
      </c>
      <c r="O76" s="77">
        <f t="shared" si="22"/>
        <v>8.3333333333333329E-2</v>
      </c>
      <c r="P76" s="77">
        <v>0</v>
      </c>
      <c r="Q76" s="25" t="s">
        <v>349</v>
      </c>
    </row>
    <row r="77" spans="1:17">
      <c r="A77" s="24" t="s">
        <v>23</v>
      </c>
      <c r="D77" s="77">
        <f>1/12</f>
        <v>8.3333333333333329E-2</v>
      </c>
      <c r="E77" s="77">
        <f t="shared" si="22"/>
        <v>8.3333333333333329E-2</v>
      </c>
      <c r="F77" s="77">
        <f t="shared" si="22"/>
        <v>8.3333333333333329E-2</v>
      </c>
      <c r="G77" s="77">
        <f t="shared" si="22"/>
        <v>8.3333333333333329E-2</v>
      </c>
      <c r="H77" s="77">
        <f t="shared" si="22"/>
        <v>8.3333333333333329E-2</v>
      </c>
      <c r="I77" s="77">
        <f t="shared" si="22"/>
        <v>8.3333333333333329E-2</v>
      </c>
      <c r="J77" s="77">
        <f t="shared" si="22"/>
        <v>8.3333333333333329E-2</v>
      </c>
      <c r="K77" s="77">
        <f t="shared" si="22"/>
        <v>8.3333333333333329E-2</v>
      </c>
      <c r="L77" s="77">
        <f t="shared" si="22"/>
        <v>8.3333333333333329E-2</v>
      </c>
      <c r="M77" s="77">
        <f t="shared" si="22"/>
        <v>8.3333333333333329E-2</v>
      </c>
      <c r="N77" s="77">
        <f t="shared" si="22"/>
        <v>8.3333333333333329E-2</v>
      </c>
      <c r="O77" s="77">
        <f t="shared" si="22"/>
        <v>8.3333333333333329E-2</v>
      </c>
      <c r="P77" s="77">
        <v>0</v>
      </c>
      <c r="Q77" s="25" t="s">
        <v>349</v>
      </c>
    </row>
    <row r="78" spans="1:17">
      <c r="A78" s="24" t="s">
        <v>269</v>
      </c>
      <c r="D78" s="77">
        <v>0.3</v>
      </c>
      <c r="E78" s="77">
        <f>(1-D78)/11</f>
        <v>6.363636363636363E-2</v>
      </c>
      <c r="F78" s="77">
        <f>E78</f>
        <v>6.363636363636363E-2</v>
      </c>
      <c r="G78" s="77">
        <f t="shared" ref="G78:O78" si="23">F78</f>
        <v>6.363636363636363E-2</v>
      </c>
      <c r="H78" s="77">
        <f t="shared" si="23"/>
        <v>6.363636363636363E-2</v>
      </c>
      <c r="I78" s="77">
        <f t="shared" si="23"/>
        <v>6.363636363636363E-2</v>
      </c>
      <c r="J78" s="77">
        <f t="shared" si="23"/>
        <v>6.363636363636363E-2</v>
      </c>
      <c r="K78" s="77">
        <f t="shared" si="23"/>
        <v>6.363636363636363E-2</v>
      </c>
      <c r="L78" s="77">
        <f t="shared" si="23"/>
        <v>6.363636363636363E-2</v>
      </c>
      <c r="M78" s="77">
        <f t="shared" si="23"/>
        <v>6.363636363636363E-2</v>
      </c>
      <c r="N78" s="77">
        <f t="shared" si="23"/>
        <v>6.363636363636363E-2</v>
      </c>
      <c r="O78" s="77">
        <f t="shared" si="23"/>
        <v>6.363636363636363E-2</v>
      </c>
      <c r="P78" s="77">
        <v>0</v>
      </c>
      <c r="Q78" s="25" t="s">
        <v>350</v>
      </c>
    </row>
    <row r="79" spans="1:17">
      <c r="A79" s="24" t="s">
        <v>60</v>
      </c>
      <c r="D79" s="77">
        <f t="shared" ref="D79:D84" si="24">1/12</f>
        <v>8.3333333333333329E-2</v>
      </c>
      <c r="E79" s="77">
        <f t="shared" si="22"/>
        <v>8.3333333333333329E-2</v>
      </c>
      <c r="F79" s="77">
        <f t="shared" si="22"/>
        <v>8.3333333333333329E-2</v>
      </c>
      <c r="G79" s="77">
        <f t="shared" si="22"/>
        <v>8.3333333333333329E-2</v>
      </c>
      <c r="H79" s="77">
        <f t="shared" si="22"/>
        <v>8.3333333333333329E-2</v>
      </c>
      <c r="I79" s="77">
        <f t="shared" si="22"/>
        <v>8.3333333333333329E-2</v>
      </c>
      <c r="J79" s="77">
        <f t="shared" si="22"/>
        <v>8.3333333333333329E-2</v>
      </c>
      <c r="K79" s="77">
        <f t="shared" si="22"/>
        <v>8.3333333333333329E-2</v>
      </c>
      <c r="L79" s="77">
        <f t="shared" si="22"/>
        <v>8.3333333333333329E-2</v>
      </c>
      <c r="M79" s="77">
        <f t="shared" si="22"/>
        <v>8.3333333333333329E-2</v>
      </c>
      <c r="N79" s="77">
        <f t="shared" si="22"/>
        <v>8.3333333333333329E-2</v>
      </c>
      <c r="O79" s="77">
        <f t="shared" si="22"/>
        <v>8.3333333333333329E-2</v>
      </c>
      <c r="P79" s="77">
        <v>0</v>
      </c>
      <c r="Q79" s="25" t="s">
        <v>349</v>
      </c>
    </row>
    <row r="80" spans="1:17">
      <c r="A80" s="24" t="s">
        <v>61</v>
      </c>
      <c r="D80" s="77">
        <f t="shared" si="24"/>
        <v>8.3333333333333329E-2</v>
      </c>
      <c r="E80" s="77">
        <f t="shared" si="22"/>
        <v>8.3333333333333329E-2</v>
      </c>
      <c r="F80" s="77">
        <f t="shared" si="22"/>
        <v>8.3333333333333329E-2</v>
      </c>
      <c r="G80" s="77">
        <f t="shared" si="22"/>
        <v>8.3333333333333329E-2</v>
      </c>
      <c r="H80" s="77">
        <f t="shared" si="22"/>
        <v>8.3333333333333329E-2</v>
      </c>
      <c r="I80" s="77">
        <f t="shared" si="22"/>
        <v>8.3333333333333329E-2</v>
      </c>
      <c r="J80" s="77">
        <f t="shared" si="22"/>
        <v>8.3333333333333329E-2</v>
      </c>
      <c r="K80" s="77">
        <f t="shared" si="22"/>
        <v>8.3333333333333329E-2</v>
      </c>
      <c r="L80" s="77">
        <f t="shared" si="22"/>
        <v>8.3333333333333329E-2</v>
      </c>
      <c r="M80" s="77">
        <f t="shared" si="22"/>
        <v>8.3333333333333329E-2</v>
      </c>
      <c r="N80" s="77">
        <f t="shared" si="22"/>
        <v>8.3333333333333329E-2</v>
      </c>
      <c r="O80" s="77">
        <f t="shared" si="22"/>
        <v>8.3333333333333329E-2</v>
      </c>
      <c r="P80" s="77">
        <v>0</v>
      </c>
      <c r="Q80" s="25" t="s">
        <v>349</v>
      </c>
    </row>
    <row r="81" spans="1:17">
      <c r="A81" s="24" t="s">
        <v>211</v>
      </c>
      <c r="D81" s="77">
        <f t="shared" si="24"/>
        <v>8.3333333333333329E-2</v>
      </c>
      <c r="E81" s="77">
        <f t="shared" si="22"/>
        <v>8.3333333333333329E-2</v>
      </c>
      <c r="F81" s="77">
        <f t="shared" si="22"/>
        <v>8.3333333333333329E-2</v>
      </c>
      <c r="G81" s="77">
        <f t="shared" si="22"/>
        <v>8.3333333333333329E-2</v>
      </c>
      <c r="H81" s="77">
        <f t="shared" si="22"/>
        <v>8.3333333333333329E-2</v>
      </c>
      <c r="I81" s="77">
        <f t="shared" si="22"/>
        <v>8.3333333333333329E-2</v>
      </c>
      <c r="J81" s="77">
        <f t="shared" si="22"/>
        <v>8.3333333333333329E-2</v>
      </c>
      <c r="K81" s="77">
        <f t="shared" si="22"/>
        <v>8.3333333333333329E-2</v>
      </c>
      <c r="L81" s="77">
        <f t="shared" si="22"/>
        <v>8.3333333333333329E-2</v>
      </c>
      <c r="M81" s="77">
        <f t="shared" si="22"/>
        <v>8.3333333333333329E-2</v>
      </c>
      <c r="N81" s="77">
        <f t="shared" si="22"/>
        <v>8.3333333333333329E-2</v>
      </c>
      <c r="O81" s="77">
        <f t="shared" si="22"/>
        <v>8.3333333333333329E-2</v>
      </c>
      <c r="P81" s="77">
        <v>0</v>
      </c>
      <c r="Q81" s="25" t="s">
        <v>349</v>
      </c>
    </row>
    <row r="82" spans="1:17">
      <c r="A82" s="24" t="s">
        <v>212</v>
      </c>
      <c r="D82" s="77">
        <f t="shared" si="24"/>
        <v>8.3333333333333329E-2</v>
      </c>
      <c r="E82" s="77">
        <f t="shared" si="22"/>
        <v>8.3333333333333329E-2</v>
      </c>
      <c r="F82" s="77">
        <f t="shared" si="22"/>
        <v>8.3333333333333329E-2</v>
      </c>
      <c r="G82" s="77">
        <f t="shared" si="22"/>
        <v>8.3333333333333329E-2</v>
      </c>
      <c r="H82" s="77">
        <f t="shared" si="22"/>
        <v>8.3333333333333329E-2</v>
      </c>
      <c r="I82" s="77">
        <f t="shared" si="22"/>
        <v>8.3333333333333329E-2</v>
      </c>
      <c r="J82" s="77">
        <f t="shared" si="22"/>
        <v>8.3333333333333329E-2</v>
      </c>
      <c r="K82" s="77">
        <f t="shared" si="22"/>
        <v>8.3333333333333329E-2</v>
      </c>
      <c r="L82" s="77">
        <f t="shared" si="22"/>
        <v>8.3333333333333329E-2</v>
      </c>
      <c r="M82" s="77">
        <f t="shared" si="22"/>
        <v>8.3333333333333329E-2</v>
      </c>
      <c r="N82" s="77">
        <f t="shared" si="22"/>
        <v>8.3333333333333329E-2</v>
      </c>
      <c r="O82" s="77">
        <f t="shared" si="22"/>
        <v>8.3333333333333329E-2</v>
      </c>
      <c r="P82" s="77">
        <v>0</v>
      </c>
      <c r="Q82" s="25" t="s">
        <v>349</v>
      </c>
    </row>
    <row r="83" spans="1:17">
      <c r="A83" s="24" t="s">
        <v>62</v>
      </c>
      <c r="D83" s="77">
        <f t="shared" si="24"/>
        <v>8.3333333333333329E-2</v>
      </c>
      <c r="E83" s="77">
        <f t="shared" si="22"/>
        <v>8.3333333333333329E-2</v>
      </c>
      <c r="F83" s="77">
        <f t="shared" si="22"/>
        <v>8.3333333333333329E-2</v>
      </c>
      <c r="G83" s="77">
        <f t="shared" si="22"/>
        <v>8.3333333333333329E-2</v>
      </c>
      <c r="H83" s="77">
        <f t="shared" si="22"/>
        <v>8.3333333333333329E-2</v>
      </c>
      <c r="I83" s="77">
        <f t="shared" si="22"/>
        <v>8.3333333333333329E-2</v>
      </c>
      <c r="J83" s="77">
        <f t="shared" si="22"/>
        <v>8.3333333333333329E-2</v>
      </c>
      <c r="K83" s="77">
        <f t="shared" si="22"/>
        <v>8.3333333333333329E-2</v>
      </c>
      <c r="L83" s="77">
        <f t="shared" si="22"/>
        <v>8.3333333333333329E-2</v>
      </c>
      <c r="M83" s="77">
        <f t="shared" si="22"/>
        <v>8.3333333333333329E-2</v>
      </c>
      <c r="N83" s="77">
        <f t="shared" si="22"/>
        <v>8.3333333333333329E-2</v>
      </c>
      <c r="O83" s="77">
        <f t="shared" si="22"/>
        <v>8.3333333333333329E-2</v>
      </c>
      <c r="P83" s="77">
        <v>0</v>
      </c>
      <c r="Q83" s="25" t="s">
        <v>349</v>
      </c>
    </row>
    <row r="84" spans="1:17">
      <c r="A84" s="24" t="s">
        <v>258</v>
      </c>
      <c r="D84" s="77">
        <f t="shared" si="24"/>
        <v>8.3333333333333329E-2</v>
      </c>
      <c r="E84" s="77">
        <f t="shared" si="22"/>
        <v>8.3333333333333329E-2</v>
      </c>
      <c r="F84" s="77">
        <f t="shared" si="22"/>
        <v>8.3333333333333329E-2</v>
      </c>
      <c r="G84" s="77">
        <f t="shared" si="22"/>
        <v>8.3333333333333329E-2</v>
      </c>
      <c r="H84" s="77">
        <f t="shared" si="22"/>
        <v>8.3333333333333329E-2</v>
      </c>
      <c r="I84" s="77">
        <f t="shared" si="22"/>
        <v>8.3333333333333329E-2</v>
      </c>
      <c r="J84" s="77">
        <f t="shared" si="22"/>
        <v>8.3333333333333329E-2</v>
      </c>
      <c r="K84" s="77">
        <f t="shared" si="22"/>
        <v>8.3333333333333329E-2</v>
      </c>
      <c r="L84" s="77">
        <f t="shared" si="22"/>
        <v>8.3333333333333329E-2</v>
      </c>
      <c r="M84" s="77">
        <f t="shared" si="22"/>
        <v>8.3333333333333329E-2</v>
      </c>
      <c r="N84" s="77">
        <f t="shared" si="22"/>
        <v>8.3333333333333329E-2</v>
      </c>
      <c r="O84" s="77">
        <f t="shared" si="22"/>
        <v>8.3333333333333329E-2</v>
      </c>
      <c r="P84" s="77">
        <v>0</v>
      </c>
      <c r="Q84" s="25" t="s">
        <v>349</v>
      </c>
    </row>
    <row r="85" spans="1:17">
      <c r="A85" s="24" t="s">
        <v>71</v>
      </c>
      <c r="D85" s="77">
        <v>0</v>
      </c>
      <c r="E85" s="77">
        <v>0.05</v>
      </c>
      <c r="F85" s="77">
        <v>0.1</v>
      </c>
      <c r="G85" s="77">
        <v>0.1</v>
      </c>
      <c r="H85" s="77">
        <v>0.1</v>
      </c>
      <c r="I85" s="77">
        <v>0.1</v>
      </c>
      <c r="J85" s="77">
        <v>0.1</v>
      </c>
      <c r="K85" s="77">
        <v>0.1</v>
      </c>
      <c r="L85" s="77">
        <v>0.1</v>
      </c>
      <c r="M85" s="77">
        <v>0.1</v>
      </c>
      <c r="N85" s="77">
        <v>0.1</v>
      </c>
      <c r="O85" s="77">
        <v>0.05</v>
      </c>
      <c r="P85" s="77">
        <v>0</v>
      </c>
      <c r="Q85" s="25" t="s">
        <v>352</v>
      </c>
    </row>
    <row r="86" spans="1:17">
      <c r="A86" s="24" t="s">
        <v>70</v>
      </c>
      <c r="D86" s="77">
        <f>1/12</f>
        <v>8.3333333333333329E-2</v>
      </c>
      <c r="E86" s="77">
        <f t="shared" si="22"/>
        <v>8.3333333333333329E-2</v>
      </c>
      <c r="F86" s="77">
        <f t="shared" si="22"/>
        <v>8.3333333333333329E-2</v>
      </c>
      <c r="G86" s="77">
        <f t="shared" si="22"/>
        <v>8.3333333333333329E-2</v>
      </c>
      <c r="H86" s="77">
        <f t="shared" si="22"/>
        <v>8.3333333333333329E-2</v>
      </c>
      <c r="I86" s="77">
        <f t="shared" si="22"/>
        <v>8.3333333333333329E-2</v>
      </c>
      <c r="J86" s="77">
        <f t="shared" si="22"/>
        <v>8.3333333333333329E-2</v>
      </c>
      <c r="K86" s="77">
        <f t="shared" si="22"/>
        <v>8.3333333333333329E-2</v>
      </c>
      <c r="L86" s="77">
        <f t="shared" si="22"/>
        <v>8.3333333333333329E-2</v>
      </c>
      <c r="M86" s="77">
        <f t="shared" si="22"/>
        <v>8.3333333333333329E-2</v>
      </c>
      <c r="N86" s="77">
        <f t="shared" si="22"/>
        <v>8.3333333333333329E-2</v>
      </c>
      <c r="O86" s="77">
        <f t="shared" si="22"/>
        <v>8.3333333333333329E-2</v>
      </c>
      <c r="P86" s="77">
        <v>0</v>
      </c>
      <c r="Q86" s="25" t="s">
        <v>349</v>
      </c>
    </row>
    <row r="87" spans="1:17">
      <c r="A87" s="24" t="s">
        <v>69</v>
      </c>
      <c r="D87" s="77">
        <f>1/12</f>
        <v>8.3333333333333329E-2</v>
      </c>
      <c r="E87" s="77">
        <f t="shared" si="22"/>
        <v>8.3333333333333329E-2</v>
      </c>
      <c r="F87" s="77">
        <f t="shared" si="22"/>
        <v>8.3333333333333329E-2</v>
      </c>
      <c r="G87" s="77">
        <f t="shared" si="22"/>
        <v>8.3333333333333329E-2</v>
      </c>
      <c r="H87" s="77">
        <f t="shared" si="22"/>
        <v>8.3333333333333329E-2</v>
      </c>
      <c r="I87" s="77">
        <f t="shared" si="22"/>
        <v>8.3333333333333329E-2</v>
      </c>
      <c r="J87" s="77">
        <f t="shared" si="22"/>
        <v>8.3333333333333329E-2</v>
      </c>
      <c r="K87" s="77">
        <f t="shared" si="22"/>
        <v>8.3333333333333329E-2</v>
      </c>
      <c r="L87" s="77">
        <f t="shared" si="22"/>
        <v>8.3333333333333329E-2</v>
      </c>
      <c r="M87" s="77">
        <f t="shared" si="22"/>
        <v>8.3333333333333329E-2</v>
      </c>
      <c r="N87" s="77">
        <f t="shared" si="22"/>
        <v>8.3333333333333329E-2</v>
      </c>
      <c r="O87" s="77">
        <f t="shared" si="22"/>
        <v>8.3333333333333329E-2</v>
      </c>
      <c r="P87" s="77">
        <v>0</v>
      </c>
      <c r="Q87" s="25" t="s">
        <v>349</v>
      </c>
    </row>
    <row r="88" spans="1:17">
      <c r="A88" s="24" t="s">
        <v>72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1</v>
      </c>
      <c r="Q88" s="25" t="s">
        <v>354</v>
      </c>
    </row>
    <row r="89" spans="1:17">
      <c r="A89" s="24" t="s">
        <v>74</v>
      </c>
      <c r="B89" s="23"/>
      <c r="C89" s="23"/>
      <c r="D89" s="77">
        <f>1/12</f>
        <v>8.3333333333333329E-2</v>
      </c>
      <c r="E89" s="77">
        <f t="shared" si="22"/>
        <v>8.3333333333333329E-2</v>
      </c>
      <c r="F89" s="77">
        <f t="shared" si="22"/>
        <v>8.3333333333333329E-2</v>
      </c>
      <c r="G89" s="77">
        <f t="shared" si="22"/>
        <v>8.3333333333333329E-2</v>
      </c>
      <c r="H89" s="77">
        <f t="shared" si="22"/>
        <v>8.3333333333333329E-2</v>
      </c>
      <c r="I89" s="77">
        <f t="shared" si="22"/>
        <v>8.3333333333333329E-2</v>
      </c>
      <c r="J89" s="77">
        <f t="shared" si="22"/>
        <v>8.3333333333333329E-2</v>
      </c>
      <c r="K89" s="77">
        <f t="shared" si="22"/>
        <v>8.3333333333333329E-2</v>
      </c>
      <c r="L89" s="77">
        <f t="shared" si="22"/>
        <v>8.3333333333333329E-2</v>
      </c>
      <c r="M89" s="77">
        <f t="shared" si="22"/>
        <v>8.3333333333333329E-2</v>
      </c>
      <c r="N89" s="77">
        <f t="shared" si="22"/>
        <v>8.3333333333333329E-2</v>
      </c>
      <c r="O89" s="77">
        <f t="shared" si="22"/>
        <v>8.3333333333333329E-2</v>
      </c>
      <c r="P89" s="77">
        <v>0</v>
      </c>
      <c r="Q89" s="25" t="s">
        <v>349</v>
      </c>
    </row>
    <row r="90" spans="1:17">
      <c r="A90" s="24" t="s">
        <v>24</v>
      </c>
      <c r="D90" s="77">
        <f>1/12</f>
        <v>8.3333333333333329E-2</v>
      </c>
      <c r="E90" s="77">
        <f t="shared" si="22"/>
        <v>8.3333333333333329E-2</v>
      </c>
      <c r="F90" s="77">
        <f t="shared" si="22"/>
        <v>8.3333333333333329E-2</v>
      </c>
      <c r="G90" s="77">
        <f t="shared" si="22"/>
        <v>8.3333333333333329E-2</v>
      </c>
      <c r="H90" s="77">
        <f t="shared" si="22"/>
        <v>8.3333333333333329E-2</v>
      </c>
      <c r="I90" s="77">
        <f t="shared" si="22"/>
        <v>8.3333333333333329E-2</v>
      </c>
      <c r="J90" s="77">
        <f t="shared" si="22"/>
        <v>8.3333333333333329E-2</v>
      </c>
      <c r="K90" s="77">
        <f t="shared" si="22"/>
        <v>8.3333333333333329E-2</v>
      </c>
      <c r="L90" s="77">
        <f t="shared" si="22"/>
        <v>8.3333333333333329E-2</v>
      </c>
      <c r="M90" s="77">
        <f t="shared" si="22"/>
        <v>8.3333333333333329E-2</v>
      </c>
      <c r="N90" s="77">
        <f t="shared" si="22"/>
        <v>8.3333333333333329E-2</v>
      </c>
      <c r="O90" s="77">
        <f t="shared" si="22"/>
        <v>8.3333333333333329E-2</v>
      </c>
      <c r="P90" s="77">
        <v>0</v>
      </c>
      <c r="Q90" s="25" t="s">
        <v>349</v>
      </c>
    </row>
    <row r="91" spans="1:17">
      <c r="A91" s="24" t="s">
        <v>272</v>
      </c>
      <c r="D91" s="77">
        <v>0</v>
      </c>
      <c r="E91" s="77">
        <v>0.05</v>
      </c>
      <c r="F91" s="77">
        <v>0.1</v>
      </c>
      <c r="G91" s="77">
        <v>0.1</v>
      </c>
      <c r="H91" s="77">
        <v>0.1</v>
      </c>
      <c r="I91" s="77">
        <v>0.1</v>
      </c>
      <c r="J91" s="77">
        <v>0.1</v>
      </c>
      <c r="K91" s="77">
        <v>0.1</v>
      </c>
      <c r="L91" s="77">
        <v>0.1</v>
      </c>
      <c r="M91" s="77">
        <v>0.1</v>
      </c>
      <c r="N91" s="77">
        <v>0.1</v>
      </c>
      <c r="O91" s="77">
        <v>0.05</v>
      </c>
      <c r="P91" s="77">
        <v>0</v>
      </c>
      <c r="Q91" s="25" t="s">
        <v>352</v>
      </c>
    </row>
    <row r="92" spans="1:17">
      <c r="A92" s="24" t="s">
        <v>73</v>
      </c>
      <c r="D92" s="77">
        <f>1/12</f>
        <v>8.3333333333333329E-2</v>
      </c>
      <c r="E92" s="77">
        <f t="shared" si="22"/>
        <v>8.3333333333333329E-2</v>
      </c>
      <c r="F92" s="77">
        <f t="shared" si="22"/>
        <v>8.3333333333333329E-2</v>
      </c>
      <c r="G92" s="77">
        <f t="shared" si="22"/>
        <v>8.3333333333333329E-2</v>
      </c>
      <c r="H92" s="77">
        <f t="shared" si="22"/>
        <v>8.3333333333333329E-2</v>
      </c>
      <c r="I92" s="77">
        <f t="shared" si="22"/>
        <v>8.3333333333333329E-2</v>
      </c>
      <c r="J92" s="77">
        <f t="shared" si="22"/>
        <v>8.3333333333333329E-2</v>
      </c>
      <c r="K92" s="77">
        <f t="shared" si="22"/>
        <v>8.3333333333333329E-2</v>
      </c>
      <c r="L92" s="77">
        <f t="shared" si="22"/>
        <v>8.3333333333333329E-2</v>
      </c>
      <c r="M92" s="77">
        <f t="shared" si="22"/>
        <v>8.3333333333333329E-2</v>
      </c>
      <c r="N92" s="77">
        <f t="shared" si="22"/>
        <v>8.3333333333333329E-2</v>
      </c>
      <c r="O92" s="77">
        <f t="shared" si="22"/>
        <v>8.3333333333333329E-2</v>
      </c>
      <c r="P92" s="77">
        <v>0</v>
      </c>
      <c r="Q92" s="25" t="s">
        <v>349</v>
      </c>
    </row>
    <row r="93" spans="1:17">
      <c r="A93" s="24" t="s">
        <v>75</v>
      </c>
      <c r="D93" s="77">
        <v>0</v>
      </c>
      <c r="E93" s="77">
        <v>0.05</v>
      </c>
      <c r="F93" s="77">
        <v>0.1</v>
      </c>
      <c r="G93" s="77">
        <v>0.1</v>
      </c>
      <c r="H93" s="77">
        <v>0.1</v>
      </c>
      <c r="I93" s="77">
        <v>0.1</v>
      </c>
      <c r="J93" s="77">
        <v>0.1</v>
      </c>
      <c r="K93" s="77">
        <v>0.1</v>
      </c>
      <c r="L93" s="77">
        <v>0.1</v>
      </c>
      <c r="M93" s="77">
        <v>0.1</v>
      </c>
      <c r="N93" s="77">
        <v>0.1</v>
      </c>
      <c r="O93" s="77">
        <v>0.05</v>
      </c>
      <c r="P93" s="77">
        <v>0</v>
      </c>
      <c r="Q93" s="25" t="s">
        <v>352</v>
      </c>
    </row>
    <row r="94" spans="1:17">
      <c r="A94" s="24" t="s">
        <v>66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25" t="s">
        <v>379</v>
      </c>
    </row>
    <row r="95" spans="1:17">
      <c r="A95" s="24" t="s">
        <v>65</v>
      </c>
      <c r="D95" s="87">
        <f>D12</f>
        <v>0</v>
      </c>
      <c r="E95" s="87">
        <f t="shared" ref="E95:P95" si="25">E12</f>
        <v>0.06</v>
      </c>
      <c r="F95" s="87">
        <f t="shared" si="25"/>
        <v>0.12</v>
      </c>
      <c r="G95" s="87">
        <f t="shared" si="25"/>
        <v>0.08</v>
      </c>
      <c r="H95" s="87">
        <f t="shared" si="25"/>
        <v>0.08</v>
      </c>
      <c r="I95" s="87">
        <f t="shared" si="25"/>
        <v>0.08</v>
      </c>
      <c r="J95" s="87">
        <f t="shared" si="25"/>
        <v>0.08</v>
      </c>
      <c r="K95" s="87">
        <f t="shared" si="25"/>
        <v>0.08</v>
      </c>
      <c r="L95" s="87">
        <f t="shared" si="25"/>
        <v>0.33333333333333331</v>
      </c>
      <c r="M95" s="87">
        <f t="shared" si="25"/>
        <v>0.16666666666666666</v>
      </c>
      <c r="N95" s="87">
        <f t="shared" si="25"/>
        <v>0.16666666666666666</v>
      </c>
      <c r="O95" s="87">
        <f t="shared" si="25"/>
        <v>0.16666666666666666</v>
      </c>
      <c r="P95" s="87">
        <f t="shared" si="25"/>
        <v>0.16666666666666666</v>
      </c>
      <c r="Q95" s="25" t="s">
        <v>353</v>
      </c>
    </row>
    <row r="96" spans="1:17">
      <c r="A96" s="24" t="s">
        <v>67</v>
      </c>
      <c r="D96" s="77">
        <f>1/12</f>
        <v>8.3333333333333329E-2</v>
      </c>
      <c r="E96" s="77">
        <f t="shared" si="22"/>
        <v>8.3333333333333329E-2</v>
      </c>
      <c r="F96" s="77">
        <f t="shared" si="22"/>
        <v>8.3333333333333329E-2</v>
      </c>
      <c r="G96" s="77">
        <f t="shared" si="22"/>
        <v>8.3333333333333329E-2</v>
      </c>
      <c r="H96" s="77">
        <f t="shared" si="22"/>
        <v>8.3333333333333329E-2</v>
      </c>
      <c r="I96" s="77">
        <f t="shared" si="22"/>
        <v>8.3333333333333329E-2</v>
      </c>
      <c r="J96" s="77">
        <f t="shared" si="22"/>
        <v>8.3333333333333329E-2</v>
      </c>
      <c r="K96" s="77">
        <f t="shared" si="22"/>
        <v>8.3333333333333329E-2</v>
      </c>
      <c r="L96" s="77">
        <f t="shared" si="22"/>
        <v>8.3333333333333329E-2</v>
      </c>
      <c r="M96" s="77">
        <f t="shared" si="22"/>
        <v>8.3333333333333329E-2</v>
      </c>
      <c r="N96" s="77">
        <f t="shared" si="22"/>
        <v>8.3333333333333329E-2</v>
      </c>
      <c r="O96" s="77">
        <f t="shared" si="22"/>
        <v>8.3333333333333329E-2</v>
      </c>
      <c r="P96" s="77">
        <v>0</v>
      </c>
      <c r="Q96" s="25" t="s">
        <v>349</v>
      </c>
    </row>
    <row r="97" spans="1:17">
      <c r="A97" s="24" t="s">
        <v>25</v>
      </c>
      <c r="D97" s="87">
        <f>D12</f>
        <v>0</v>
      </c>
      <c r="E97" s="87">
        <f t="shared" ref="E97:P97" si="26">E12</f>
        <v>0.06</v>
      </c>
      <c r="F97" s="87">
        <f t="shared" si="26"/>
        <v>0.12</v>
      </c>
      <c r="G97" s="87">
        <f t="shared" si="26"/>
        <v>0.08</v>
      </c>
      <c r="H97" s="87">
        <f t="shared" si="26"/>
        <v>0.08</v>
      </c>
      <c r="I97" s="87">
        <f t="shared" si="26"/>
        <v>0.08</v>
      </c>
      <c r="J97" s="87">
        <f t="shared" si="26"/>
        <v>0.08</v>
      </c>
      <c r="K97" s="87">
        <f t="shared" si="26"/>
        <v>0.08</v>
      </c>
      <c r="L97" s="87">
        <f t="shared" si="26"/>
        <v>0.33333333333333331</v>
      </c>
      <c r="M97" s="87">
        <f t="shared" si="26"/>
        <v>0.16666666666666666</v>
      </c>
      <c r="N97" s="87">
        <f t="shared" si="26"/>
        <v>0.16666666666666666</v>
      </c>
      <c r="O97" s="87">
        <f t="shared" si="26"/>
        <v>0.16666666666666666</v>
      </c>
      <c r="P97" s="87">
        <f t="shared" si="26"/>
        <v>0.16666666666666666</v>
      </c>
      <c r="Q97" s="25" t="s">
        <v>353</v>
      </c>
    </row>
    <row r="98" spans="1:17">
      <c r="A98" s="24" t="s">
        <v>68</v>
      </c>
      <c r="D98" s="77">
        <f>1/12</f>
        <v>8.3333333333333329E-2</v>
      </c>
      <c r="E98" s="77">
        <f t="shared" si="22"/>
        <v>8.3333333333333329E-2</v>
      </c>
      <c r="F98" s="77">
        <f t="shared" si="22"/>
        <v>8.3333333333333329E-2</v>
      </c>
      <c r="G98" s="77">
        <f t="shared" si="22"/>
        <v>8.3333333333333329E-2</v>
      </c>
      <c r="H98" s="77">
        <f t="shared" si="22"/>
        <v>8.3333333333333329E-2</v>
      </c>
      <c r="I98" s="77">
        <f t="shared" si="22"/>
        <v>8.3333333333333329E-2</v>
      </c>
      <c r="J98" s="77">
        <f t="shared" si="22"/>
        <v>8.3333333333333329E-2</v>
      </c>
      <c r="K98" s="77">
        <f t="shared" si="22"/>
        <v>8.3333333333333329E-2</v>
      </c>
      <c r="L98" s="77">
        <f t="shared" si="22"/>
        <v>8.3333333333333329E-2</v>
      </c>
      <c r="M98" s="77">
        <f t="shared" si="22"/>
        <v>8.3333333333333329E-2</v>
      </c>
      <c r="N98" s="77">
        <f t="shared" si="22"/>
        <v>8.3333333333333329E-2</v>
      </c>
      <c r="O98" s="77">
        <f t="shared" si="22"/>
        <v>8.3333333333333329E-2</v>
      </c>
      <c r="P98" s="77">
        <v>0</v>
      </c>
      <c r="Q98" s="25" t="s">
        <v>349</v>
      </c>
    </row>
  </sheetData>
  <mergeCells count="1">
    <mergeCell ref="D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104"/>
  <sheetViews>
    <sheetView topLeftCell="A7" zoomScale="90" zoomScaleNormal="90" zoomScalePageLayoutView="90" workbookViewId="0">
      <selection activeCell="C90" sqref="C90"/>
    </sheetView>
  </sheetViews>
  <sheetFormatPr baseColWidth="10" defaultColWidth="8.83203125" defaultRowHeight="14"/>
  <cols>
    <col min="1" max="1" width="31.33203125" style="24" bestFit="1" customWidth="1"/>
    <col min="2" max="3" width="9" style="24" customWidth="1"/>
    <col min="4" max="16384" width="8.83203125" style="24"/>
  </cols>
  <sheetData>
    <row r="1" spans="1:7" hidden="1">
      <c r="A1" s="24" t="s">
        <v>108</v>
      </c>
      <c r="C1" s="24" t="s">
        <v>173</v>
      </c>
      <c r="D1" s="24" t="s">
        <v>174</v>
      </c>
      <c r="E1" s="24" t="s">
        <v>251</v>
      </c>
    </row>
    <row r="2" spans="1:7" hidden="1">
      <c r="A2" s="24" t="s">
        <v>109</v>
      </c>
      <c r="C2" s="24" t="s">
        <v>175</v>
      </c>
      <c r="D2" s="24" t="s">
        <v>175</v>
      </c>
      <c r="E2" s="24" t="s">
        <v>252</v>
      </c>
    </row>
    <row r="3" spans="1:7" hidden="1">
      <c r="C3" s="24" t="s">
        <v>182</v>
      </c>
      <c r="D3" s="24" t="s">
        <v>182</v>
      </c>
      <c r="E3" s="24" t="s">
        <v>273</v>
      </c>
    </row>
    <row r="4" spans="1:7" hidden="1">
      <c r="C4" s="24" t="s">
        <v>183</v>
      </c>
      <c r="D4" s="24" t="s">
        <v>183</v>
      </c>
    </row>
    <row r="5" spans="1:7" hidden="1"/>
    <row r="6" spans="1:7" hidden="1"/>
    <row r="7" spans="1:7">
      <c r="A7" s="23" t="s">
        <v>185</v>
      </c>
      <c r="B7" s="23"/>
    </row>
    <row r="8" spans="1:7">
      <c r="B8" s="24" t="s">
        <v>199</v>
      </c>
      <c r="C8" s="24" t="s">
        <v>76</v>
      </c>
      <c r="D8" s="24" t="s">
        <v>77</v>
      </c>
      <c r="E8" s="24" t="s">
        <v>78</v>
      </c>
      <c r="F8" s="24" t="s">
        <v>79</v>
      </c>
      <c r="G8" s="24" t="s">
        <v>80</v>
      </c>
    </row>
    <row r="9" spans="1:7">
      <c r="A9" s="24" t="s">
        <v>173</v>
      </c>
    </row>
    <row r="10" spans="1:7">
      <c r="A10" s="37" t="s">
        <v>161</v>
      </c>
      <c r="B10" s="66">
        <f>IF('Expense Input'!$B65="STRS",'Expense Input'!B81*'Expense Input'!B9,0)</f>
        <v>0</v>
      </c>
      <c r="C10" s="66">
        <f>IF('Expense Input'!$B65="STRS",'Expense Input'!C81*'Expense Input'!C9,0)</f>
        <v>0</v>
      </c>
      <c r="D10" s="66">
        <f>IF('Expense Input'!$B65="STRS",'Expense Input'!D81*'Expense Input'!D9,0)</f>
        <v>0</v>
      </c>
      <c r="E10" s="66">
        <f>IF('Expense Input'!$B65="STRS",'Expense Input'!E81*'Expense Input'!E9,0)</f>
        <v>0</v>
      </c>
      <c r="F10" s="66">
        <f>IF('Expense Input'!$B65="STRS",'Expense Input'!F81*'Expense Input'!F9,0)</f>
        <v>0</v>
      </c>
      <c r="G10" s="66">
        <f>IF('Expense Input'!$B65="STRS",'Expense Input'!G81*'Expense Input'!G9,0)</f>
        <v>0</v>
      </c>
    </row>
    <row r="11" spans="1:7">
      <c r="A11" s="37" t="s">
        <v>186</v>
      </c>
      <c r="B11" s="66">
        <f>IF('Expense Input'!$B65="STRS",'Expense Input'!B11*'Expense Input'!B81,0)</f>
        <v>0</v>
      </c>
      <c r="C11" s="66">
        <f>IF('Expense Input'!$B65="STRS",'Expense Input'!C11*'Expense Input'!C81,0)</f>
        <v>0</v>
      </c>
      <c r="D11" s="66">
        <f>IF('Expense Input'!$B65="STRS",'Expense Input'!D11*'Expense Input'!D81,0)</f>
        <v>0</v>
      </c>
      <c r="E11" s="66">
        <f>IF('Expense Input'!$B65="STRS",'Expense Input'!E11*'Expense Input'!E81,0)</f>
        <v>0</v>
      </c>
      <c r="F11" s="66">
        <f>IF('Expense Input'!$B65="STRS",'Expense Input'!F11*'Expense Input'!F81,0)</f>
        <v>0</v>
      </c>
      <c r="G11" s="66">
        <f>IF('Expense Input'!$B65="STRS",'Expense Input'!G11*'Expense Input'!G81,0)</f>
        <v>0</v>
      </c>
    </row>
    <row r="12" spans="1:7">
      <c r="A12" s="37" t="s">
        <v>162</v>
      </c>
      <c r="B12" s="71">
        <f>IF('Expense Input'!$B66="STRS",'Expense Input'!B15*'Expense Input'!B81,0)</f>
        <v>0</v>
      </c>
      <c r="C12" s="71">
        <f>IF('Expense Input'!$B66="STRS",'Expense Input'!C15*'Expense Input'!C81,0)</f>
        <v>0</v>
      </c>
      <c r="D12" s="71">
        <f>IF('Expense Input'!$B66="STRS",'Expense Input'!D15*'Expense Input'!D81,0)</f>
        <v>0</v>
      </c>
      <c r="E12" s="71">
        <f>IF('Expense Input'!$B66="STRS",'Expense Input'!E15*'Expense Input'!E81,0)</f>
        <v>0</v>
      </c>
      <c r="F12" s="71">
        <f>IF('Expense Input'!$B66="STRS",'Expense Input'!F15*'Expense Input'!F81,0)</f>
        <v>0</v>
      </c>
      <c r="G12" s="71">
        <f>IF('Expense Input'!$B66="STRS",'Expense Input'!G15*'Expense Input'!G81,0)</f>
        <v>0</v>
      </c>
    </row>
    <row r="13" spans="1:7">
      <c r="A13" s="37" t="s">
        <v>163</v>
      </c>
      <c r="B13" s="71">
        <f>IF('Expense Input'!$B67="STRS",'Expense Input'!B19*'Expense Input'!B81,0)</f>
        <v>0</v>
      </c>
      <c r="C13" s="71">
        <f>IF('Expense Input'!$B67="STRS",'Expense Input'!C19*'Expense Input'!C81,0)</f>
        <v>0</v>
      </c>
      <c r="D13" s="71">
        <f>IF('Expense Input'!$B67="STRS",'Expense Input'!D19*'Expense Input'!D81,0)</f>
        <v>0</v>
      </c>
      <c r="E13" s="71">
        <f>IF('Expense Input'!$B67="STRS",'Expense Input'!E19*'Expense Input'!E81,0)</f>
        <v>0</v>
      </c>
      <c r="F13" s="71">
        <f>IF('Expense Input'!$B67="STRS",'Expense Input'!F19*'Expense Input'!F81,0)</f>
        <v>0</v>
      </c>
      <c r="G13" s="71">
        <f>IF('Expense Input'!$B67="STRS",'Expense Input'!G19*'Expense Input'!G81,0)</f>
        <v>0</v>
      </c>
    </row>
    <row r="14" spans="1:7">
      <c r="A14" s="37" t="s">
        <v>289</v>
      </c>
      <c r="B14" s="71">
        <f>IF('Expense Input'!$B68="STRS",'Expense Input'!B23*'Expense Input'!B81,0)</f>
        <v>0</v>
      </c>
      <c r="C14" s="71">
        <f>IF('Expense Input'!$B68="STRS",'Expense Input'!C23*'Expense Input'!C81,0)</f>
        <v>0</v>
      </c>
      <c r="D14" s="71">
        <f>IF('Expense Input'!$B68="STRS",'Expense Input'!D23*'Expense Input'!D81,0)</f>
        <v>0</v>
      </c>
      <c r="E14" s="71">
        <f>IF('Expense Input'!$B68="STRS",'Expense Input'!E23*'Expense Input'!E81,0)</f>
        <v>0</v>
      </c>
      <c r="F14" s="71">
        <f>IF('Expense Input'!$B68="STRS",'Expense Input'!F23*'Expense Input'!F81,0)</f>
        <v>0</v>
      </c>
      <c r="G14" s="71">
        <f>IF('Expense Input'!$B68="STRS",'Expense Input'!G23*'Expense Input'!G81,0)</f>
        <v>0</v>
      </c>
    </row>
    <row r="15" spans="1:7">
      <c r="A15" s="37" t="s">
        <v>164</v>
      </c>
      <c r="B15" s="71">
        <f>IF('Expense Input'!$B69="STRS",'Expense Input'!B27*'Expense Input'!B81,0)</f>
        <v>0</v>
      </c>
      <c r="C15" s="71">
        <f>IF('Expense Input'!$B69="STRS",'Expense Input'!C27*'Expense Input'!C81,0)</f>
        <v>0</v>
      </c>
      <c r="D15" s="71">
        <f>IF('Expense Input'!$B69="STRS",'Expense Input'!D27*'Expense Input'!D81,0)</f>
        <v>0</v>
      </c>
      <c r="E15" s="71">
        <f>IF('Expense Input'!$B69="STRS",'Expense Input'!E27*'Expense Input'!E81,0)</f>
        <v>0</v>
      </c>
      <c r="F15" s="71">
        <f>IF('Expense Input'!$B69="STRS",'Expense Input'!F27*'Expense Input'!F81,0)</f>
        <v>0</v>
      </c>
      <c r="G15" s="71">
        <f>IF('Expense Input'!$B69="STRS",'Expense Input'!G27*'Expense Input'!G81,0)</f>
        <v>0</v>
      </c>
    </row>
    <row r="16" spans="1:7">
      <c r="A16" s="37" t="s">
        <v>190</v>
      </c>
      <c r="B16" s="71">
        <f>SUM(B10:B15)</f>
        <v>0</v>
      </c>
      <c r="C16" s="71">
        <f>SUM(C10:C15)</f>
        <v>0</v>
      </c>
      <c r="D16" s="71">
        <f t="shared" ref="D16:G16" si="0">SUM(D10:D15)</f>
        <v>0</v>
      </c>
      <c r="E16" s="71">
        <f t="shared" si="0"/>
        <v>0</v>
      </c>
      <c r="F16" s="71">
        <f t="shared" si="0"/>
        <v>0</v>
      </c>
      <c r="G16" s="71">
        <f t="shared" si="0"/>
        <v>0</v>
      </c>
    </row>
    <row r="17" spans="1:7">
      <c r="A17" s="24" t="s">
        <v>174</v>
      </c>
      <c r="C17" s="71"/>
      <c r="D17" s="71"/>
      <c r="E17" s="71"/>
      <c r="F17" s="71"/>
      <c r="G17" s="71"/>
    </row>
    <row r="18" spans="1:7">
      <c r="A18" s="37" t="s">
        <v>165</v>
      </c>
      <c r="B18" s="71">
        <f>IF('Expense Input'!$B70="PERS",'Expense Input'!B37*'Expense Input'!B82,0)</f>
        <v>0</v>
      </c>
      <c r="C18" s="71">
        <f>IF('Expense Input'!$B70="PERS",'Expense Input'!C37*'Expense Input'!C82,0)</f>
        <v>0</v>
      </c>
      <c r="D18" s="71">
        <f>IF('Expense Input'!$B70="PERS",'Expense Input'!D37*'Expense Input'!D82,0)</f>
        <v>0</v>
      </c>
      <c r="E18" s="71">
        <f>IF('Expense Input'!$B70="PERS",'Expense Input'!E37*'Expense Input'!E82,0)</f>
        <v>0</v>
      </c>
      <c r="F18" s="71">
        <f>IF('Expense Input'!$B70="PERS",'Expense Input'!F37*'Expense Input'!F82,0)</f>
        <v>0</v>
      </c>
      <c r="G18" s="71">
        <f>IF('Expense Input'!$B70="PERS",'Expense Input'!G37*'Expense Input'!G82,0)</f>
        <v>0</v>
      </c>
    </row>
    <row r="19" spans="1:7">
      <c r="A19" s="37" t="s">
        <v>166</v>
      </c>
      <c r="B19" s="71">
        <f>IF('Expense Input'!$B71="PERS",'Expense Input'!B41*'Expense Input'!B82,0)</f>
        <v>0</v>
      </c>
      <c r="C19" s="71">
        <f>IF('Expense Input'!$B71="PERS",'Expense Input'!C41*'Expense Input'!C82,0)</f>
        <v>0</v>
      </c>
      <c r="D19" s="71">
        <f>IF('Expense Input'!$B71="PERS",'Expense Input'!D41*'Expense Input'!D82,0)</f>
        <v>0</v>
      </c>
      <c r="E19" s="71">
        <f>IF('Expense Input'!$B71="PERS",'Expense Input'!E41*'Expense Input'!E82,0)</f>
        <v>0</v>
      </c>
      <c r="F19" s="71">
        <f>IF('Expense Input'!$B71="PERS",'Expense Input'!F41*'Expense Input'!F82,0)</f>
        <v>0</v>
      </c>
      <c r="G19" s="71">
        <f>IF('Expense Input'!$B71="PERS",'Expense Input'!G41*'Expense Input'!G82,0)</f>
        <v>0</v>
      </c>
    </row>
    <row r="20" spans="1:7">
      <c r="A20" s="37" t="s">
        <v>167</v>
      </c>
      <c r="B20" s="71">
        <f>IF('Expense Input'!$B72="PERS",'Expense Input'!B45*'Expense Input'!B82,0)</f>
        <v>0</v>
      </c>
      <c r="C20" s="71">
        <f>IF('Expense Input'!$B72="PERS",'Expense Input'!C45*'Expense Input'!C82,0)</f>
        <v>0</v>
      </c>
      <c r="D20" s="71">
        <f>IF('Expense Input'!$B72="PERS",'Expense Input'!D45*'Expense Input'!D82,0)</f>
        <v>0</v>
      </c>
      <c r="E20" s="71">
        <f>IF('Expense Input'!$B72="PERS",'Expense Input'!E45*'Expense Input'!E82,0)</f>
        <v>0</v>
      </c>
      <c r="F20" s="71">
        <f>IF('Expense Input'!$B72="PERS",'Expense Input'!F45*'Expense Input'!F82,0)</f>
        <v>0</v>
      </c>
      <c r="G20" s="71">
        <f>IF('Expense Input'!$B72="PERS",'Expense Input'!G45*'Expense Input'!G82,0)</f>
        <v>0</v>
      </c>
    </row>
    <row r="21" spans="1:7">
      <c r="A21" s="37" t="s">
        <v>168</v>
      </c>
      <c r="B21" s="71">
        <f>IF('Expense Input'!$B73="PERS",'Expense Input'!B49*'Expense Input'!B82,0)</f>
        <v>0</v>
      </c>
      <c r="C21" s="71">
        <f>IF('Expense Input'!$B73="PERS",'Expense Input'!C49*'Expense Input'!C82,0)</f>
        <v>0</v>
      </c>
      <c r="D21" s="71">
        <f>IF('Expense Input'!$B73="PERS",'Expense Input'!D49*'Expense Input'!D82,0)</f>
        <v>0</v>
      </c>
      <c r="E21" s="71">
        <f>IF('Expense Input'!$B73="PERS",'Expense Input'!E49*'Expense Input'!E82,0)</f>
        <v>0</v>
      </c>
      <c r="F21" s="71">
        <f>IF('Expense Input'!$B73="PERS",'Expense Input'!F49*'Expense Input'!F82,0)</f>
        <v>0</v>
      </c>
      <c r="G21" s="71">
        <f>IF('Expense Input'!$B73="PERS",'Expense Input'!G49*'Expense Input'!G82,0)</f>
        <v>0</v>
      </c>
    </row>
    <row r="22" spans="1:7">
      <c r="A22" s="37" t="s">
        <v>293</v>
      </c>
      <c r="B22" s="71">
        <f>IF('Expense Input'!$B74="PERS",'Expense Input'!B53*'Expense Input'!B82,0)</f>
        <v>0</v>
      </c>
      <c r="C22" s="71">
        <f>IF('Expense Input'!$B74="PERS",'Expense Input'!C53*'Expense Input'!C82,0)</f>
        <v>0</v>
      </c>
      <c r="D22" s="71">
        <f>IF('Expense Input'!$B74="PERS",'Expense Input'!D53*'Expense Input'!D82,0)</f>
        <v>0</v>
      </c>
      <c r="E22" s="71">
        <f>IF('Expense Input'!$B74="PERS",'Expense Input'!E53*'Expense Input'!E82,0)</f>
        <v>0</v>
      </c>
      <c r="F22" s="71">
        <f>IF('Expense Input'!$B74="PERS",'Expense Input'!F53*'Expense Input'!F82,0)</f>
        <v>0</v>
      </c>
      <c r="G22" s="71">
        <f>IF('Expense Input'!$B74="PERS",'Expense Input'!G53*'Expense Input'!G82,0)</f>
        <v>0</v>
      </c>
    </row>
    <row r="23" spans="1:7">
      <c r="A23" s="37" t="s">
        <v>169</v>
      </c>
      <c r="B23" s="71">
        <f>IF('Expense Input'!$B75="PERS",'Expense Input'!B57*'Expense Input'!B82,0)</f>
        <v>0</v>
      </c>
      <c r="C23" s="71">
        <f>IF('Expense Input'!$B75="PERS",'Expense Input'!C57*'Expense Input'!C82,0)</f>
        <v>0</v>
      </c>
      <c r="D23" s="71">
        <f>IF('Expense Input'!$B75="PERS",'Expense Input'!D57*'Expense Input'!D82,0)</f>
        <v>0</v>
      </c>
      <c r="E23" s="71">
        <f>IF('Expense Input'!$B75="PERS",'Expense Input'!E57*'Expense Input'!E82,0)</f>
        <v>0</v>
      </c>
      <c r="F23" s="71">
        <f>IF('Expense Input'!$B75="PERS",'Expense Input'!F57*'Expense Input'!F82,0)</f>
        <v>0</v>
      </c>
      <c r="G23" s="71">
        <f>IF('Expense Input'!$B75="PERS",'Expense Input'!G57*'Expense Input'!G82,0)</f>
        <v>0</v>
      </c>
    </row>
    <row r="24" spans="1:7">
      <c r="A24" s="37" t="s">
        <v>192</v>
      </c>
      <c r="B24" s="71">
        <f>SUM(B18:B23)</f>
        <v>0</v>
      </c>
      <c r="C24" s="71">
        <f>SUM(C18:C23)</f>
        <v>0</v>
      </c>
      <c r="D24" s="71">
        <f t="shared" ref="D24:G24" si="1">SUM(D18:D23)</f>
        <v>0</v>
      </c>
      <c r="E24" s="71">
        <f t="shared" si="1"/>
        <v>0</v>
      </c>
      <c r="F24" s="71">
        <f t="shared" si="1"/>
        <v>0</v>
      </c>
      <c r="G24" s="71">
        <f t="shared" si="1"/>
        <v>0</v>
      </c>
    </row>
    <row r="25" spans="1:7">
      <c r="A25" s="24" t="s">
        <v>19</v>
      </c>
      <c r="C25" s="71"/>
      <c r="D25" s="71"/>
      <c r="E25" s="71"/>
      <c r="F25" s="71"/>
      <c r="G25" s="71"/>
    </row>
    <row r="26" spans="1:7">
      <c r="A26" s="37" t="s">
        <v>161</v>
      </c>
      <c r="B26" s="71">
        <f>IF('Expense Input'!$B65="403b",'Expense Input'!B9*'Expense Input'!B83,0)</f>
        <v>0</v>
      </c>
      <c r="C26" s="71">
        <f>IF('Expense Input'!$B65="403b",'Expense Input'!C9*'Expense Input'!C83,0)</f>
        <v>50456.4</v>
      </c>
      <c r="D26" s="71">
        <f>IF('Expense Input'!$B65="403b",'Expense Input'!D9*'Expense Input'!D83,0)</f>
        <v>57161.789999999994</v>
      </c>
      <c r="E26" s="71">
        <f>IF('Expense Input'!$B65="403b",'Expense Input'!E9*'Expense Input'!E83,0)</f>
        <v>64170.914249999987</v>
      </c>
      <c r="F26" s="71">
        <f>IF('Expense Input'!$B65="403b",'Expense Input'!F9*'Expense Input'!F83,0)</f>
        <v>68634.977849999996</v>
      </c>
      <c r="G26" s="71">
        <f>IF('Expense Input'!$B65="403b",'Expense Input'!G9*'Expense Input'!G83,0)</f>
        <v>70350.852296249985</v>
      </c>
    </row>
    <row r="27" spans="1:7">
      <c r="A27" s="37" t="s">
        <v>186</v>
      </c>
      <c r="B27" s="71">
        <f>IF('Expense Input'!$B65="403b",'Expense Input'!B11*'Expense Input'!B83,0)</f>
        <v>0</v>
      </c>
      <c r="C27" s="71">
        <f>IF('Expense Input'!$B65="403b",'Expense Input'!C11*'Expense Input'!C83,0)</f>
        <v>1000</v>
      </c>
      <c r="D27" s="71">
        <f>IF('Expense Input'!$B65="403b",'Expense Input'!D11*'Expense Input'!D83,0)</f>
        <v>1000</v>
      </c>
      <c r="E27" s="71">
        <f>IF('Expense Input'!$B65="403b",'Expense Input'!E11*'Expense Input'!E83,0)</f>
        <v>1000</v>
      </c>
      <c r="F27" s="71">
        <f>IF('Expense Input'!$B65="403b",'Expense Input'!F11*'Expense Input'!F83,0)</f>
        <v>1000</v>
      </c>
      <c r="G27" s="71">
        <f>IF('Expense Input'!$B65="403b",'Expense Input'!G11*'Expense Input'!G83,0)</f>
        <v>1000</v>
      </c>
    </row>
    <row r="28" spans="1:7">
      <c r="A28" s="37" t="s">
        <v>162</v>
      </c>
      <c r="B28" s="71">
        <f>IF('Expense Input'!$B66="403b",'Expense Input'!B15*'Expense Input'!B83,0)</f>
        <v>0</v>
      </c>
      <c r="C28" s="71">
        <f>IF('Expense Input'!$B66="403b",'Expense Input'!C15*'Expense Input'!C83,0)</f>
        <v>0</v>
      </c>
      <c r="D28" s="71">
        <f>IF('Expense Input'!$B66="403b",'Expense Input'!D15*'Expense Input'!D83,0)</f>
        <v>0</v>
      </c>
      <c r="E28" s="71">
        <f>IF('Expense Input'!$B66="403b",'Expense Input'!E15*'Expense Input'!E83,0)</f>
        <v>0</v>
      </c>
      <c r="F28" s="71">
        <f>IF('Expense Input'!$B66="403b",'Expense Input'!F15*'Expense Input'!F83,0)</f>
        <v>0</v>
      </c>
      <c r="G28" s="71">
        <f>IF('Expense Input'!$B66="403b",'Expense Input'!G15*'Expense Input'!G83,0)</f>
        <v>0</v>
      </c>
    </row>
    <row r="29" spans="1:7">
      <c r="A29" s="37" t="s">
        <v>163</v>
      </c>
      <c r="B29" s="71">
        <f>IF('Expense Input'!$B67="403b",'Expense Input'!B19*'Expense Input'!B$83,0)</f>
        <v>0</v>
      </c>
      <c r="C29" s="71">
        <f>IF('Expense Input'!$B67="403b",'Expense Input'!C19*'Expense Input'!C$83,0)</f>
        <v>11000</v>
      </c>
      <c r="D29" s="71">
        <f>IF('Expense Input'!$B67="403b",'Expense Input'!D19*'Expense Input'!D$83,0)</f>
        <v>11275</v>
      </c>
      <c r="E29" s="71">
        <f>IF('Expense Input'!$B67="403b",'Expense Input'!E19*'Expense Input'!E$83,0)</f>
        <v>11556.874999999998</v>
      </c>
      <c r="F29" s="71">
        <f>IF('Expense Input'!$B67="403b",'Expense Input'!F19*'Expense Input'!F$83,0)</f>
        <v>11845.796874999996</v>
      </c>
      <c r="G29" s="71">
        <f>IF('Expense Input'!$B67="403b",'Expense Input'!G19*'Expense Input'!G$83,0)</f>
        <v>12141.941796874995</v>
      </c>
    </row>
    <row r="30" spans="1:7">
      <c r="A30" s="37" t="s">
        <v>289</v>
      </c>
      <c r="B30" s="71">
        <f>IF('Expense Input'!$B68="403b",'Expense Input'!B23*'Expense Input'!B$83,0)</f>
        <v>0</v>
      </c>
      <c r="C30" s="71">
        <f>IF('Expense Input'!$B68="403b",'Expense Input'!C23*'Expense Input'!C$83,0)</f>
        <v>0</v>
      </c>
      <c r="D30" s="71">
        <f>IF('Expense Input'!$B68="403b",'Expense Input'!D23*'Expense Input'!D$83,0)</f>
        <v>0</v>
      </c>
      <c r="E30" s="71">
        <f>IF('Expense Input'!$B68="403b",'Expense Input'!E23*'Expense Input'!E$83,0)</f>
        <v>0</v>
      </c>
      <c r="F30" s="71">
        <f>IF('Expense Input'!$B68="403b",'Expense Input'!F23*'Expense Input'!F$83,0)</f>
        <v>0</v>
      </c>
      <c r="G30" s="71">
        <f>IF('Expense Input'!$B68="403b",'Expense Input'!G23*'Expense Input'!G$83,0)</f>
        <v>0</v>
      </c>
    </row>
    <row r="31" spans="1:7">
      <c r="A31" s="37" t="s">
        <v>164</v>
      </c>
      <c r="B31" s="71">
        <f>IF('Expense Input'!$B69="403b",'Expense Input'!B27*'Expense Input'!B83,0)</f>
        <v>0</v>
      </c>
      <c r="C31" s="71">
        <f>IF('Expense Input'!$B69="403b",'Expense Input'!C27*'Expense Input'!C83,0)</f>
        <v>0</v>
      </c>
      <c r="D31" s="71">
        <f>IF('Expense Input'!$B69="403b",'Expense Input'!D27*'Expense Input'!D83,0)</f>
        <v>0</v>
      </c>
      <c r="E31" s="71">
        <f>IF('Expense Input'!$B69="403b",'Expense Input'!E27*'Expense Input'!E83,0)</f>
        <v>0</v>
      </c>
      <c r="F31" s="71">
        <f>IF('Expense Input'!$B69="403b",'Expense Input'!F27*'Expense Input'!F83,0)</f>
        <v>0</v>
      </c>
      <c r="G31" s="71">
        <f>IF('Expense Input'!$B69="403b",'Expense Input'!G27*'Expense Input'!G83,0)</f>
        <v>0</v>
      </c>
    </row>
    <row r="32" spans="1:7">
      <c r="A32" s="37" t="s">
        <v>165</v>
      </c>
      <c r="B32" s="71">
        <f>IF('Expense Input'!$B70="403b",'Expense Input'!B37*'Expense Input'!B83,0)</f>
        <v>0</v>
      </c>
      <c r="C32" s="71">
        <f>IF('Expense Input'!$B70="403b",'Expense Input'!C37*'Expense Input'!C83,0)</f>
        <v>4704</v>
      </c>
      <c r="D32" s="71">
        <f>IF('Expense Input'!$B70="403b",'Expense Input'!D37*'Expense Input'!D83,0)</f>
        <v>6428.7999999999993</v>
      </c>
      <c r="E32" s="71">
        <f>IF('Expense Input'!$B70="403b",'Expense Input'!E37*'Expense Input'!E83,0)</f>
        <v>6589.5199999999986</v>
      </c>
      <c r="F32" s="71">
        <f>IF('Expense Input'!$B70="403b",'Expense Input'!F37*'Expense Input'!F83,0)</f>
        <v>6754.257999999998</v>
      </c>
      <c r="G32" s="71">
        <f>IF('Expense Input'!$B70="403b",'Expense Input'!G37*'Expense Input'!G83,0)</f>
        <v>6923.1144499999973</v>
      </c>
    </row>
    <row r="33" spans="1:7">
      <c r="A33" s="37" t="s">
        <v>166</v>
      </c>
      <c r="B33" s="71">
        <f>IF('Expense Input'!$B71="403b",'Expense Input'!B41*'Expense Input'!B83,0)</f>
        <v>0</v>
      </c>
      <c r="C33" s="71">
        <f>IF('Expense Input'!$B71="403b",'Expense Input'!C41*'Expense Input'!C83,0)</f>
        <v>3136</v>
      </c>
      <c r="D33" s="71">
        <f>IF('Expense Input'!$B71="403b",'Expense Input'!D41*'Expense Input'!D83,0)</f>
        <v>3214.3999999999996</v>
      </c>
      <c r="E33" s="71">
        <f>IF('Expense Input'!$B71="403b",'Expense Input'!E41*'Expense Input'!E83,0)</f>
        <v>3294.7599999999993</v>
      </c>
      <c r="F33" s="71">
        <f>IF('Expense Input'!$B71="403b",'Expense Input'!F41*'Expense Input'!F83,0)</f>
        <v>3377.128999999999</v>
      </c>
      <c r="G33" s="71">
        <f>IF('Expense Input'!$B71="403b",'Expense Input'!G41*'Expense Input'!G83,0)</f>
        <v>3461.5572249999987</v>
      </c>
    </row>
    <row r="34" spans="1:7">
      <c r="A34" s="37" t="s">
        <v>167</v>
      </c>
      <c r="B34" s="71">
        <f>IF('Expense Input'!$B72="403b",'Expense Input'!B45*'Expense Input'!B83,0)</f>
        <v>0</v>
      </c>
      <c r="C34" s="71">
        <f>IF('Expense Input'!$B72="403b",'Expense Input'!C45*'Expense Input'!C83,0)</f>
        <v>0</v>
      </c>
      <c r="D34" s="71">
        <f>IF('Expense Input'!$B72="403b",'Expense Input'!D45*'Expense Input'!D83,0)</f>
        <v>0</v>
      </c>
      <c r="E34" s="71">
        <f>IF('Expense Input'!$B72="403b",'Expense Input'!E45*'Expense Input'!E83,0)</f>
        <v>0</v>
      </c>
      <c r="F34" s="71">
        <f>IF('Expense Input'!$B72="403b",'Expense Input'!F45*'Expense Input'!F83,0)</f>
        <v>0</v>
      </c>
      <c r="G34" s="71">
        <f>IF('Expense Input'!$B72="403b",'Expense Input'!G45*'Expense Input'!G83,0)</f>
        <v>0</v>
      </c>
    </row>
    <row r="35" spans="1:7">
      <c r="A35" s="37" t="s">
        <v>168</v>
      </c>
      <c r="B35" s="71">
        <f>IF('Expense Input'!$B73="403b",'Expense Input'!B49*'Expense Input'!B$83,0)</f>
        <v>0</v>
      </c>
      <c r="C35" s="71">
        <f>IF('Expense Input'!$B73="403b",'Expense Input'!C49*'Expense Input'!C83,0)</f>
        <v>6468</v>
      </c>
      <c r="D35" s="71">
        <f>IF('Expense Input'!$B73="403b",'Expense Input'!D49*'Expense Input'!D83,0)</f>
        <v>6629.6999999999989</v>
      </c>
      <c r="E35" s="71">
        <f>IF('Expense Input'!$B73="403b",'Expense Input'!E49*'Expense Input'!E83,0)</f>
        <v>6795.4424999999992</v>
      </c>
      <c r="F35" s="71">
        <f>IF('Expense Input'!$B73="403b",'Expense Input'!F49*'Expense Input'!F83,0)</f>
        <v>6965.328562499998</v>
      </c>
      <c r="G35" s="71">
        <f>IF('Expense Input'!$B73="403b",'Expense Input'!G49*'Expense Input'!G83,0)</f>
        <v>7139.4617765624971</v>
      </c>
    </row>
    <row r="36" spans="1:7">
      <c r="A36" s="37" t="s">
        <v>293</v>
      </c>
      <c r="B36" s="71">
        <f>IF('Expense Input'!$B74="403b",'Expense Input'!B53*'Expense Input'!B$83,0)</f>
        <v>0</v>
      </c>
      <c r="C36" s="71">
        <f>IF('Expense Input'!$B74="403b",'Expense Input'!C53*'Expense Input'!C$83,0)</f>
        <v>0</v>
      </c>
      <c r="D36" s="71">
        <f>IF('Expense Input'!$B74="403b",'Expense Input'!D53*'Expense Input'!D$83,0)</f>
        <v>0</v>
      </c>
      <c r="E36" s="71">
        <f>IF('Expense Input'!$B74="403b",'Expense Input'!E53*'Expense Input'!E$83,0)</f>
        <v>0</v>
      </c>
      <c r="F36" s="71">
        <f>IF('Expense Input'!$B74="403b",'Expense Input'!F53*'Expense Input'!F$83,0)</f>
        <v>0</v>
      </c>
      <c r="G36" s="71">
        <f>IF('Expense Input'!$B74="403b",'Expense Input'!G53*'Expense Input'!G$83,0)</f>
        <v>0</v>
      </c>
    </row>
    <row r="37" spans="1:7">
      <c r="A37" s="37" t="s">
        <v>169</v>
      </c>
      <c r="B37" s="71">
        <f>IF('Expense Input'!$B75="403b",'Expense Input'!B57*'Expense Input'!B83,0)</f>
        <v>0</v>
      </c>
      <c r="C37" s="71">
        <f>IF('Expense Input'!$B75="403b",'Expense Input'!C57*'Expense Input'!C83,0)</f>
        <v>3626</v>
      </c>
      <c r="D37" s="71">
        <f>IF('Expense Input'!$B75="403b",'Expense Input'!D57*'Expense Input'!D83,0)</f>
        <v>3716.65</v>
      </c>
      <c r="E37" s="71">
        <f>IF('Expense Input'!$B75="403b",'Expense Input'!E57*'Expense Input'!E83,0)</f>
        <v>3809.5662499999999</v>
      </c>
      <c r="F37" s="71">
        <f>IF('Expense Input'!$B75="403b",'Expense Input'!F57*'Expense Input'!F83,0)</f>
        <v>3904.8054062499996</v>
      </c>
      <c r="G37" s="71">
        <f>IF('Expense Input'!$B75="403b",'Expense Input'!G57*'Expense Input'!G83,0)</f>
        <v>4002.4255414062486</v>
      </c>
    </row>
    <row r="38" spans="1:7">
      <c r="A38" s="37" t="s">
        <v>191</v>
      </c>
      <c r="B38" s="71">
        <f>SUM(B26:B37)</f>
        <v>0</v>
      </c>
      <c r="C38" s="71">
        <f>SUM(C26:C37)</f>
        <v>80390.399999999994</v>
      </c>
      <c r="D38" s="71">
        <f t="shared" ref="D38:G38" si="2">SUM(D26:D37)</f>
        <v>89426.339999999982</v>
      </c>
      <c r="E38" s="71">
        <f t="shared" si="2"/>
        <v>97217.077999999994</v>
      </c>
      <c r="F38" s="71">
        <f t="shared" si="2"/>
        <v>102482.29569375</v>
      </c>
      <c r="G38" s="71">
        <f t="shared" si="2"/>
        <v>105019.35308609372</v>
      </c>
    </row>
    <row r="39" spans="1:7">
      <c r="A39" s="24" t="s">
        <v>176</v>
      </c>
      <c r="C39" s="71"/>
      <c r="D39" s="71"/>
      <c r="E39" s="71"/>
      <c r="F39" s="71"/>
      <c r="G39" s="71"/>
    </row>
    <row r="40" spans="1:7">
      <c r="A40" s="37" t="s">
        <v>161</v>
      </c>
      <c r="B40" s="71">
        <f>IF('Expense Input'!$B65="other",'Expense Input'!B9*'Expense Input'!B84,0)</f>
        <v>0</v>
      </c>
      <c r="C40" s="71">
        <f>IF('Expense Input'!$B65="other",'Expense Input'!C9*'Expense Input'!C84,0)</f>
        <v>0</v>
      </c>
      <c r="D40" s="71">
        <f>IF('Expense Input'!$B65="other",'Expense Input'!D9*'Expense Input'!D84,0)</f>
        <v>0</v>
      </c>
      <c r="E40" s="71">
        <f>IF('Expense Input'!$B65="other",'Expense Input'!E9*'Expense Input'!E84,0)</f>
        <v>0</v>
      </c>
      <c r="F40" s="71">
        <f>IF('Expense Input'!$B65="other",'Expense Input'!F9*'Expense Input'!F84,0)</f>
        <v>0</v>
      </c>
      <c r="G40" s="71">
        <f>IF('Expense Input'!$B65="other",'Expense Input'!G9*'Expense Input'!G84,0)</f>
        <v>0</v>
      </c>
    </row>
    <row r="41" spans="1:7">
      <c r="A41" s="37" t="s">
        <v>186</v>
      </c>
      <c r="B41" s="71">
        <f>IF('Expense Input'!$B65="other",'Expense Input'!B11*'Expense Input'!B84,0)</f>
        <v>0</v>
      </c>
      <c r="C41" s="71">
        <f>IF('Expense Input'!$B65="other",'Expense Input'!C11*'Expense Input'!C84,0)</f>
        <v>0</v>
      </c>
      <c r="D41" s="71">
        <f>IF('Expense Input'!$B65="other",'Expense Input'!D11*'Expense Input'!D84,0)</f>
        <v>0</v>
      </c>
      <c r="E41" s="71">
        <f>IF('Expense Input'!$B65="other",'Expense Input'!E11*'Expense Input'!E84,0)</f>
        <v>0</v>
      </c>
      <c r="F41" s="71">
        <f>IF('Expense Input'!$B65="other",'Expense Input'!F11*'Expense Input'!F84,0)</f>
        <v>0</v>
      </c>
      <c r="G41" s="71">
        <f>IF('Expense Input'!$B65="other",'Expense Input'!G11*'Expense Input'!G84,0)</f>
        <v>0</v>
      </c>
    </row>
    <row r="42" spans="1:7">
      <c r="A42" s="37" t="s">
        <v>162</v>
      </c>
      <c r="B42" s="71">
        <f>IF('Expense Input'!$B66="other",'Expense Input'!B15*'Expense Input'!B84,0)</f>
        <v>0</v>
      </c>
      <c r="C42" s="71">
        <f>IF('Expense Input'!$B66="other",'Expense Input'!C15*'Expense Input'!C84,0)</f>
        <v>0</v>
      </c>
      <c r="D42" s="71">
        <f>IF('Expense Input'!$B66="other",'Expense Input'!D15*'Expense Input'!D84,0)</f>
        <v>0</v>
      </c>
      <c r="E42" s="71">
        <f>IF('Expense Input'!$B66="other",'Expense Input'!E15*'Expense Input'!E84,0)</f>
        <v>0</v>
      </c>
      <c r="F42" s="71">
        <f>IF('Expense Input'!$B66="other",'Expense Input'!F15*'Expense Input'!F84,0)</f>
        <v>0</v>
      </c>
      <c r="G42" s="71">
        <f>IF('Expense Input'!$B66="other",'Expense Input'!G15*'Expense Input'!G84,0)</f>
        <v>0</v>
      </c>
    </row>
    <row r="43" spans="1:7">
      <c r="A43" s="37" t="s">
        <v>163</v>
      </c>
      <c r="B43" s="71">
        <f>IF('Expense Input'!$B67="other",'Expense Input'!B19*'Expense Input'!B$84,0)</f>
        <v>0</v>
      </c>
      <c r="C43" s="71">
        <f>IF('Expense Input'!$B67="other",'Expense Input'!C19*'Expense Input'!C$84,0)</f>
        <v>0</v>
      </c>
      <c r="D43" s="71">
        <f>IF('Expense Input'!$B67="other",'Expense Input'!D19*'Expense Input'!D$84,0)</f>
        <v>0</v>
      </c>
      <c r="E43" s="71">
        <f>IF('Expense Input'!$B67="other",'Expense Input'!E19*'Expense Input'!E$84,0)</f>
        <v>0</v>
      </c>
      <c r="F43" s="71">
        <f>IF('Expense Input'!$B67="other",'Expense Input'!F19*'Expense Input'!F$84,0)</f>
        <v>0</v>
      </c>
      <c r="G43" s="71">
        <f>IF('Expense Input'!$B67="other",'Expense Input'!G19*'Expense Input'!G$84,0)</f>
        <v>0</v>
      </c>
    </row>
    <row r="44" spans="1:7">
      <c r="A44" s="37" t="s">
        <v>289</v>
      </c>
      <c r="B44" s="71">
        <f>IF('Expense Input'!$B68="other",'Expense Input'!B23*'Expense Input'!B$84,0)</f>
        <v>0</v>
      </c>
      <c r="C44" s="71">
        <f>IF('Expense Input'!$B68="other",'Expense Input'!C23*'Expense Input'!C$84,0)</f>
        <v>0</v>
      </c>
      <c r="D44" s="71">
        <f>IF('Expense Input'!$B68="other",'Expense Input'!D23*'Expense Input'!D$84,0)</f>
        <v>0</v>
      </c>
      <c r="E44" s="71">
        <f>IF('Expense Input'!$B68="other",'Expense Input'!E23*'Expense Input'!E$84,0)</f>
        <v>0</v>
      </c>
      <c r="F44" s="71">
        <f>IF('Expense Input'!$B68="other",'Expense Input'!F23*'Expense Input'!F$84,0)</f>
        <v>0</v>
      </c>
      <c r="G44" s="71">
        <f>IF('Expense Input'!$B68="other",'Expense Input'!G23*'Expense Input'!G$84,0)</f>
        <v>0</v>
      </c>
    </row>
    <row r="45" spans="1:7">
      <c r="A45" s="37" t="s">
        <v>164</v>
      </c>
      <c r="B45" s="71">
        <f>IF('Expense Input'!$B69="other",'Expense Input'!B27*'Expense Input'!B84,0)</f>
        <v>0</v>
      </c>
      <c r="C45" s="71">
        <f>IF('Expense Input'!$B69="other",'Expense Input'!C27*'Expense Input'!C84,0)</f>
        <v>0</v>
      </c>
      <c r="D45" s="71">
        <f>IF('Expense Input'!$B69="other",'Expense Input'!D27*'Expense Input'!D84,0)</f>
        <v>0</v>
      </c>
      <c r="E45" s="71">
        <f>IF('Expense Input'!$B69="other",'Expense Input'!E27*'Expense Input'!E84,0)</f>
        <v>0</v>
      </c>
      <c r="F45" s="71">
        <f>IF('Expense Input'!$B69="other",'Expense Input'!F27*'Expense Input'!F84,0)</f>
        <v>0</v>
      </c>
      <c r="G45" s="71">
        <f>IF('Expense Input'!$B69="other",'Expense Input'!G27*'Expense Input'!G84,0)</f>
        <v>0</v>
      </c>
    </row>
    <row r="46" spans="1:7">
      <c r="A46" s="37" t="s">
        <v>165</v>
      </c>
      <c r="B46" s="71">
        <f>IF('Expense Input'!$B70="other",'Expense Input'!B37*'Expense Input'!B84,0)</f>
        <v>0</v>
      </c>
      <c r="C46" s="71">
        <f>IF('Expense Input'!$B70="other",'Expense Input'!C37*'Expense Input'!C84,0)</f>
        <v>0</v>
      </c>
      <c r="D46" s="71">
        <f>IF('Expense Input'!$B70="other",'Expense Input'!D37*'Expense Input'!D84,0)</f>
        <v>0</v>
      </c>
      <c r="E46" s="71">
        <f>IF('Expense Input'!$B70="other",'Expense Input'!E37*'Expense Input'!E84,0)</f>
        <v>0</v>
      </c>
      <c r="F46" s="71">
        <f>IF('Expense Input'!$B70="other",'Expense Input'!F37*'Expense Input'!F84,0)</f>
        <v>0</v>
      </c>
      <c r="G46" s="71">
        <f>IF('Expense Input'!$B70="other",'Expense Input'!G37*'Expense Input'!G84,0)</f>
        <v>0</v>
      </c>
    </row>
    <row r="47" spans="1:7">
      <c r="A47" s="37" t="s">
        <v>166</v>
      </c>
      <c r="B47" s="71">
        <f>IF('Expense Input'!$B71="other",'Expense Input'!B41*'Expense Input'!B84,0)</f>
        <v>0</v>
      </c>
      <c r="C47" s="71">
        <f>IF('Expense Input'!$B71="other",'Expense Input'!C41*'Expense Input'!C84,0)</f>
        <v>0</v>
      </c>
      <c r="D47" s="71">
        <f>IF('Expense Input'!$B71="other",'Expense Input'!D41*'Expense Input'!D84,0)</f>
        <v>0</v>
      </c>
      <c r="E47" s="71">
        <f>IF('Expense Input'!$B71="other",'Expense Input'!E41*'Expense Input'!E84,0)</f>
        <v>0</v>
      </c>
      <c r="F47" s="71">
        <f>IF('Expense Input'!$B71="other",'Expense Input'!F41*'Expense Input'!F84,0)</f>
        <v>0</v>
      </c>
      <c r="G47" s="71">
        <f>IF('Expense Input'!$B71="other",'Expense Input'!G41*'Expense Input'!G84,0)</f>
        <v>0</v>
      </c>
    </row>
    <row r="48" spans="1:7">
      <c r="A48" s="37" t="s">
        <v>167</v>
      </c>
      <c r="B48" s="71">
        <f>IF('Expense Input'!$B72="other",'Expense Input'!B45*'Expense Input'!B84,0)</f>
        <v>0</v>
      </c>
      <c r="C48" s="71">
        <f>IF('Expense Input'!$B72="other",'Expense Input'!C45*'Expense Input'!C84,0)</f>
        <v>0</v>
      </c>
      <c r="D48" s="71">
        <f>IF('Expense Input'!$B72="other",'Expense Input'!D45*'Expense Input'!D84,0)</f>
        <v>0</v>
      </c>
      <c r="E48" s="71">
        <f>IF('Expense Input'!$B72="other",'Expense Input'!E45*'Expense Input'!E84,0)</f>
        <v>0</v>
      </c>
      <c r="F48" s="71">
        <f>IF('Expense Input'!$B72="other",'Expense Input'!F45*'Expense Input'!F84,0)</f>
        <v>0</v>
      </c>
      <c r="G48" s="71">
        <f>IF('Expense Input'!$B72="other",'Expense Input'!G45*'Expense Input'!G84,0)</f>
        <v>0</v>
      </c>
    </row>
    <row r="49" spans="1:7">
      <c r="A49" s="37" t="s">
        <v>168</v>
      </c>
      <c r="B49" s="71">
        <f>IF('Expense Input'!$B73="other",'Expense Input'!B49*'Expense Input'!B$84,0)</f>
        <v>0</v>
      </c>
      <c r="C49" s="71">
        <f>IF('Expense Input'!$B73="other",'Expense Input'!C49*'Expense Input'!C$84,0)</f>
        <v>0</v>
      </c>
      <c r="D49" s="71">
        <f>IF('Expense Input'!$B73="other",'Expense Input'!D49*'Expense Input'!D$84,0)</f>
        <v>0</v>
      </c>
      <c r="E49" s="71">
        <f>IF('Expense Input'!$B73="other",'Expense Input'!E49*'Expense Input'!E$84,0)</f>
        <v>0</v>
      </c>
      <c r="F49" s="71">
        <f>IF('Expense Input'!$B73="other",'Expense Input'!F49*'Expense Input'!F$84,0)</f>
        <v>0</v>
      </c>
      <c r="G49" s="71">
        <f>IF('Expense Input'!$B73="other",'Expense Input'!G49*'Expense Input'!G$84,0)</f>
        <v>0</v>
      </c>
    </row>
    <row r="50" spans="1:7">
      <c r="A50" s="37" t="s">
        <v>293</v>
      </c>
      <c r="B50" s="71">
        <f>IF('Expense Input'!$B74="other",'Expense Input'!B53*'Expense Input'!B$84,0)</f>
        <v>0</v>
      </c>
      <c r="C50" s="71">
        <f>IF('Expense Input'!$B74="other",'Expense Input'!C53*'Expense Input'!C$84,0)</f>
        <v>0</v>
      </c>
      <c r="D50" s="71">
        <f>IF('Expense Input'!$B74="other",'Expense Input'!D53*'Expense Input'!D$84,0)</f>
        <v>0</v>
      </c>
      <c r="E50" s="71">
        <f>IF('Expense Input'!$B74="other",'Expense Input'!E53*'Expense Input'!E$84,0)</f>
        <v>0</v>
      </c>
      <c r="F50" s="71">
        <f>IF('Expense Input'!$B74="other",'Expense Input'!F53*'Expense Input'!F$84,0)</f>
        <v>0</v>
      </c>
      <c r="G50" s="71">
        <f>IF('Expense Input'!$B74="other",'Expense Input'!G53*'Expense Input'!G$84,0)</f>
        <v>0</v>
      </c>
    </row>
    <row r="51" spans="1:7">
      <c r="A51" s="37" t="s">
        <v>169</v>
      </c>
      <c r="B51" s="71">
        <f>IF('Expense Input'!$B75="other",'Expense Input'!B57*'Expense Input'!B84,0)</f>
        <v>0</v>
      </c>
      <c r="C51" s="71">
        <f>IF('Expense Input'!$B75="other",'Expense Input'!C57*'Expense Input'!C84,0)</f>
        <v>0</v>
      </c>
      <c r="D51" s="71">
        <f>IF('Expense Input'!$B75="other",'Expense Input'!D57*'Expense Input'!D84,0)</f>
        <v>0</v>
      </c>
      <c r="E51" s="71">
        <f>IF('Expense Input'!$B75="other",'Expense Input'!E57*'Expense Input'!E84,0)</f>
        <v>0</v>
      </c>
      <c r="F51" s="71">
        <f>IF('Expense Input'!$B75="other",'Expense Input'!F57*'Expense Input'!F84,0)</f>
        <v>0</v>
      </c>
      <c r="G51" s="71">
        <f>IF('Expense Input'!$B75="other",'Expense Input'!G57*'Expense Input'!G84,0)</f>
        <v>0</v>
      </c>
    </row>
    <row r="52" spans="1:7">
      <c r="A52" s="37" t="s">
        <v>193</v>
      </c>
      <c r="B52" s="71">
        <f>SUM(B40:B51)</f>
        <v>0</v>
      </c>
      <c r="C52" s="71">
        <f>SUM(C40:C51)</f>
        <v>0</v>
      </c>
      <c r="D52" s="71">
        <f t="shared" ref="D52:G52" si="3">SUM(D40:D51)</f>
        <v>0</v>
      </c>
      <c r="E52" s="71">
        <f t="shared" si="3"/>
        <v>0</v>
      </c>
      <c r="F52" s="71">
        <f t="shared" si="3"/>
        <v>0</v>
      </c>
      <c r="G52" s="71">
        <f t="shared" si="3"/>
        <v>0</v>
      </c>
    </row>
    <row r="53" spans="1:7">
      <c r="A53" s="24" t="s">
        <v>172</v>
      </c>
    </row>
    <row r="54" spans="1:7">
      <c r="A54" s="37" t="s">
        <v>161</v>
      </c>
      <c r="B54" s="71">
        <f>IF('Expense Input'!$C$65="yes",'Expense Input'!B7*'Expense Input'!B78,0)</f>
        <v>0</v>
      </c>
      <c r="C54" s="71">
        <f>IF('Expense Input'!$C$65="yes",'Expense Input'!C7*'Expense Input'!C78,0)</f>
        <v>114000</v>
      </c>
      <c r="D54" s="71">
        <f>IF('Expense Input'!$C$65="yes",'Expense Input'!D7*'Expense Input'!D78,0)</f>
        <v>138600.00000000003</v>
      </c>
      <c r="E54" s="71">
        <f>IF('Expense Input'!$C$65="yes",'Expense Input'!E7*'Expense Input'!E78,0)</f>
        <v>166980.00000000003</v>
      </c>
      <c r="F54" s="71">
        <f>IF('Expense Input'!$C$65="yes",'Expense Input'!F7*'Expense Input'!F78,0)</f>
        <v>191664.00000000006</v>
      </c>
      <c r="G54" s="71">
        <f>IF('Expense Input'!$C$65="yes",'Expense Input'!G7*'Expense Input'!G78,0)</f>
        <v>210830.40000000008</v>
      </c>
    </row>
    <row r="55" spans="1:7">
      <c r="A55" s="37" t="s">
        <v>162</v>
      </c>
      <c r="B55" s="71">
        <f>IF('Expense Input'!$C$66="yes",'Expense Input'!B78*'Expense Input'!B13,0)</f>
        <v>0</v>
      </c>
      <c r="C55" s="71">
        <f>IF('Expense Input'!$C$66="yes",'Expense Input'!C78*'Expense Input'!C13,0)</f>
        <v>0</v>
      </c>
      <c r="D55" s="71">
        <f>IF('Expense Input'!$C$66="yes",'Expense Input'!D78*'Expense Input'!D13,0)</f>
        <v>0</v>
      </c>
      <c r="E55" s="71">
        <f>IF('Expense Input'!$C$66="yes",'Expense Input'!E78*'Expense Input'!E13,0)</f>
        <v>0</v>
      </c>
      <c r="F55" s="71">
        <f>IF('Expense Input'!$C$66="yes",'Expense Input'!F78*'Expense Input'!F13,0)</f>
        <v>0</v>
      </c>
      <c r="G55" s="71">
        <f>IF('Expense Input'!$C$66="yes",'Expense Input'!G78*'Expense Input'!G13,0)</f>
        <v>0</v>
      </c>
    </row>
    <row r="56" spans="1:7">
      <c r="A56" s="37" t="s">
        <v>163</v>
      </c>
      <c r="B56" s="71">
        <f>IF('Expense Input'!$C67="yes",'Expense Input'!B$78*'Expense Input'!B17,0)</f>
        <v>0</v>
      </c>
      <c r="C56" s="71">
        <f>IF('Expense Input'!$C$67="yes",'Expense Input'!C78*'Expense Input'!C17,0)</f>
        <v>12000</v>
      </c>
      <c r="D56" s="71">
        <f>IF('Expense Input'!$C$67="yes",'Expense Input'!D78*'Expense Input'!D17,0)</f>
        <v>13200.000000000002</v>
      </c>
      <c r="E56" s="71">
        <f>IF('Expense Input'!$C$67="yes",'Expense Input'!E78*'Expense Input'!E17,0)</f>
        <v>14520.000000000004</v>
      </c>
      <c r="F56" s="71">
        <f>IF('Expense Input'!$C$67="yes",'Expense Input'!F78*'Expense Input'!F17,0)</f>
        <v>15972.000000000005</v>
      </c>
      <c r="G56" s="71">
        <f>IF('Expense Input'!$C$67="yes",'Expense Input'!G78*'Expense Input'!G17,0)</f>
        <v>17569.200000000008</v>
      </c>
    </row>
    <row r="57" spans="1:7">
      <c r="A57" s="37" t="s">
        <v>289</v>
      </c>
      <c r="B57" s="71">
        <f>IF('Expense Input'!$C68="yes",'Expense Input'!B$78*'Expense Input'!B21,0)</f>
        <v>0</v>
      </c>
      <c r="C57" s="71">
        <f>IF('Expense Input'!$C68="yes",'Expense Input'!C$78*'Expense Input'!C21,0)</f>
        <v>0</v>
      </c>
      <c r="D57" s="71">
        <f>IF('Expense Input'!$C68="yes",'Expense Input'!D$78*'Expense Input'!D21,0)</f>
        <v>0</v>
      </c>
      <c r="E57" s="71">
        <f>IF('Expense Input'!$C68="yes",'Expense Input'!E$78*'Expense Input'!E21,0)</f>
        <v>0</v>
      </c>
      <c r="F57" s="71">
        <f>IF('Expense Input'!$C68="yes",'Expense Input'!F$78*'Expense Input'!F21,0)</f>
        <v>0</v>
      </c>
      <c r="G57" s="71">
        <f>IF('Expense Input'!$C68="yes",'Expense Input'!G$78*'Expense Input'!G21,0)</f>
        <v>0</v>
      </c>
    </row>
    <row r="58" spans="1:7">
      <c r="A58" s="37" t="s">
        <v>164</v>
      </c>
      <c r="B58" s="71">
        <f>IF('Expense Input'!$C$69="yes",'Expense Input'!B78*'Expense Input'!B25,0)</f>
        <v>0</v>
      </c>
      <c r="C58" s="71">
        <f>IF('Expense Input'!$C$69="yes",'Expense Input'!C78*'Expense Input'!C25,0)</f>
        <v>0</v>
      </c>
      <c r="D58" s="71">
        <f>IF('Expense Input'!$C$69="yes",'Expense Input'!D78*'Expense Input'!D25,0)</f>
        <v>0</v>
      </c>
      <c r="E58" s="71">
        <f>IF('Expense Input'!$C$69="yes",'Expense Input'!E78*'Expense Input'!E25,0)</f>
        <v>0</v>
      </c>
      <c r="F58" s="71">
        <f>IF('Expense Input'!$C$69="yes",'Expense Input'!F78*'Expense Input'!F25,0)</f>
        <v>0</v>
      </c>
      <c r="G58" s="71">
        <f>IF('Expense Input'!$C$69="yes",'Expense Input'!G78*'Expense Input'!G25,0)</f>
        <v>0</v>
      </c>
    </row>
    <row r="59" spans="1:7">
      <c r="A59" s="37" t="s">
        <v>165</v>
      </c>
      <c r="B59" s="71">
        <f>IF('Expense Input'!$C$70="yes",'Expense Input'!B78*'Expense Input'!B35,0)</f>
        <v>0</v>
      </c>
      <c r="C59" s="71">
        <f>IF('Expense Input'!$C$70="yes",'Expense Input'!C78*'Expense Input'!C35,0)</f>
        <v>18000</v>
      </c>
      <c r="D59" s="71">
        <f>IF('Expense Input'!$C$70="yes",'Expense Input'!D78*'Expense Input'!D35,0)</f>
        <v>26400.000000000004</v>
      </c>
      <c r="E59" s="71">
        <f>IF('Expense Input'!$C$70="yes",'Expense Input'!E78*'Expense Input'!E35,0)</f>
        <v>29040.000000000007</v>
      </c>
      <c r="F59" s="71">
        <f>IF('Expense Input'!$C$70="yes",'Expense Input'!F78*'Expense Input'!F35,0)</f>
        <v>31944.000000000011</v>
      </c>
      <c r="G59" s="71">
        <f>IF('Expense Input'!$C$70="yes",'Expense Input'!G78*'Expense Input'!G35,0)</f>
        <v>35138.400000000016</v>
      </c>
    </row>
    <row r="60" spans="1:7">
      <c r="A60" s="37" t="s">
        <v>166</v>
      </c>
      <c r="B60" s="71">
        <f>IF('Expense Input'!$C$71="yes",'Expense Input'!B78*'Expense Input'!B39,0)</f>
        <v>0</v>
      </c>
      <c r="C60" s="71">
        <f>IF('Expense Input'!$C$71="yes",'Expense Input'!C78*'Expense Input'!C39,0)</f>
        <v>12000</v>
      </c>
      <c r="D60" s="71">
        <f>IF('Expense Input'!$C$71="yes",'Expense Input'!D78*'Expense Input'!D39,0)</f>
        <v>13200.000000000002</v>
      </c>
      <c r="E60" s="71">
        <f>IF('Expense Input'!$C$71="yes",'Expense Input'!E78*'Expense Input'!E39,0)</f>
        <v>14520.000000000004</v>
      </c>
      <c r="F60" s="71">
        <f>IF('Expense Input'!$C$71="yes",'Expense Input'!F78*'Expense Input'!F39,0)</f>
        <v>15972.000000000005</v>
      </c>
      <c r="G60" s="71">
        <f>IF('Expense Input'!$C$71="yes",'Expense Input'!G78*'Expense Input'!G39,0)</f>
        <v>17569.200000000008</v>
      </c>
    </row>
    <row r="61" spans="1:7">
      <c r="A61" s="37" t="s">
        <v>167</v>
      </c>
      <c r="B61" s="71">
        <f>IF('Expense Input'!$C$72="yes",'Expense Input'!B78*'Expense Input'!B43,0)</f>
        <v>0</v>
      </c>
      <c r="C61" s="71">
        <f>IF('Expense Input'!$C$72="yes",'Expense Input'!C78*'Expense Input'!C43,0)</f>
        <v>0</v>
      </c>
      <c r="D61" s="71">
        <f>IF('Expense Input'!$C$72="yes",'Expense Input'!D78*'Expense Input'!D43,0)</f>
        <v>0</v>
      </c>
      <c r="E61" s="71">
        <f>IF('Expense Input'!$C$72="yes",'Expense Input'!E78*'Expense Input'!E43,0)</f>
        <v>0</v>
      </c>
      <c r="F61" s="71">
        <f>IF('Expense Input'!$C$72="yes",'Expense Input'!F78*'Expense Input'!F43,0)</f>
        <v>0</v>
      </c>
      <c r="G61" s="71">
        <f>IF('Expense Input'!$C$72="yes",'Expense Input'!G78*'Expense Input'!G43,0)</f>
        <v>0</v>
      </c>
    </row>
    <row r="62" spans="1:7">
      <c r="A62" s="37" t="s">
        <v>168</v>
      </c>
      <c r="B62" s="71">
        <f>IF('Expense Input'!$C73="yes",'Expense Input'!B$78*'Expense Input'!B47,0)</f>
        <v>0</v>
      </c>
      <c r="C62" s="71">
        <f>IF('Expense Input'!$C$73="yes",'Expense Input'!C78*'Expense Input'!C47,0)</f>
        <v>18000</v>
      </c>
      <c r="D62" s="71">
        <f>IF('Expense Input'!$C$73="yes",'Expense Input'!D78*'Expense Input'!D47,0)</f>
        <v>19800.000000000004</v>
      </c>
      <c r="E62" s="71">
        <f>IF('Expense Input'!$C$73="yes",'Expense Input'!E78*'Expense Input'!E47,0)</f>
        <v>21780.000000000007</v>
      </c>
      <c r="F62" s="71">
        <f>IF('Expense Input'!$C$73="yes",'Expense Input'!F78*'Expense Input'!F47,0)</f>
        <v>23958.000000000007</v>
      </c>
      <c r="G62" s="71">
        <f>IF('Expense Input'!$C$73="yes",'Expense Input'!G78*'Expense Input'!G47,0)</f>
        <v>26353.80000000001</v>
      </c>
    </row>
    <row r="63" spans="1:7">
      <c r="A63" s="37" t="s">
        <v>293</v>
      </c>
      <c r="B63" s="71">
        <f>IF('Expense Input'!$C74="yes",'Expense Input'!B$78*'Expense Input'!B51,0)</f>
        <v>0</v>
      </c>
      <c r="C63" s="71">
        <f>IF('Expense Input'!$C74="yes",'Expense Input'!C$78*'Expense Input'!C51,0)</f>
        <v>0</v>
      </c>
      <c r="D63" s="71">
        <f>IF('Expense Input'!$C74="yes",'Expense Input'!D$78*'Expense Input'!D51,0)</f>
        <v>0</v>
      </c>
      <c r="E63" s="71">
        <f>IF('Expense Input'!$C74="yes",'Expense Input'!E$78*'Expense Input'!E51,0)</f>
        <v>0</v>
      </c>
      <c r="F63" s="71">
        <f>IF('Expense Input'!$C74="yes",'Expense Input'!F$78*'Expense Input'!F51,0)</f>
        <v>0</v>
      </c>
      <c r="G63" s="71">
        <f>IF('Expense Input'!$C74="yes",'Expense Input'!G$78*'Expense Input'!G51,0)</f>
        <v>0</v>
      </c>
    </row>
    <row r="64" spans="1:7">
      <c r="A64" s="37" t="s">
        <v>169</v>
      </c>
      <c r="B64" s="71">
        <f>IF('Expense Input'!$C$75="yes",'Expense Input'!B78*'Expense Input'!B55,0)</f>
        <v>0</v>
      </c>
      <c r="C64" s="71">
        <f>IF('Expense Input'!$C$75="yes",'Expense Input'!C78*'Expense Input'!C55,0)</f>
        <v>12000</v>
      </c>
      <c r="D64" s="71">
        <f>IF('Expense Input'!$C$75="yes",'Expense Input'!D78*'Expense Input'!D55,0)</f>
        <v>13200.000000000002</v>
      </c>
      <c r="E64" s="71">
        <f>IF('Expense Input'!$C$75="yes",'Expense Input'!E78*'Expense Input'!E55,0)</f>
        <v>14520.000000000004</v>
      </c>
      <c r="F64" s="71">
        <f>IF('Expense Input'!$C$75="yes",'Expense Input'!F78*'Expense Input'!F55,0)</f>
        <v>15972.000000000005</v>
      </c>
      <c r="G64" s="71">
        <f>IF('Expense Input'!$C$75="yes",'Expense Input'!G78*'Expense Input'!G55,0)</f>
        <v>17569.200000000008</v>
      </c>
    </row>
    <row r="65" spans="1:7">
      <c r="A65" s="37" t="s">
        <v>194</v>
      </c>
      <c r="B65" s="71">
        <f>SUM(B54:B64)</f>
        <v>0</v>
      </c>
      <c r="C65" s="71">
        <f>SUM(C54:C64)</f>
        <v>186000</v>
      </c>
      <c r="D65" s="71">
        <f t="shared" ref="D65:G65" si="4">SUM(D54:D64)</f>
        <v>224400.00000000003</v>
      </c>
      <c r="E65" s="71">
        <f t="shared" si="4"/>
        <v>261360.00000000003</v>
      </c>
      <c r="F65" s="71">
        <f t="shared" si="4"/>
        <v>295482.00000000006</v>
      </c>
      <c r="G65" s="71">
        <f t="shared" si="4"/>
        <v>325030.20000000013</v>
      </c>
    </row>
    <row r="66" spans="1:7">
      <c r="A66" s="24" t="s">
        <v>17</v>
      </c>
    </row>
    <row r="67" spans="1:7">
      <c r="A67" s="72" t="s">
        <v>196</v>
      </c>
      <c r="B67" s="73">
        <v>6.2E-2</v>
      </c>
      <c r="C67" s="73">
        <v>6.2E-2</v>
      </c>
      <c r="D67" s="73">
        <v>6.2E-2</v>
      </c>
      <c r="E67" s="73">
        <v>6.2E-2</v>
      </c>
      <c r="F67" s="73">
        <v>6.2E-2</v>
      </c>
      <c r="G67" s="73">
        <v>6.2E-2</v>
      </c>
    </row>
    <row r="68" spans="1:7">
      <c r="A68" s="37" t="s">
        <v>161</v>
      </c>
      <c r="B68" s="71">
        <f>IF('Expense Input'!$B$65="STRS",0,'Expense Input'!B9*'Model Calculations'!B67)</f>
        <v>0</v>
      </c>
      <c r="C68" s="71">
        <f>IF('Expense Input'!$B$65="STRS",0,'Expense Input'!C9*'Model Calculations'!C67)</f>
        <v>62565.936000000002</v>
      </c>
      <c r="D68" s="71">
        <f>IF('Expense Input'!$B$65="STRS",0,'Expense Input'!D9*'Model Calculations'!D67)</f>
        <v>70880.619599999991</v>
      </c>
      <c r="E68" s="71">
        <f>IF('Expense Input'!$B$65="STRS",0,'Expense Input'!E9*'Model Calculations'!E67)</f>
        <v>79571.933669999984</v>
      </c>
      <c r="F68" s="71">
        <f>IF('Expense Input'!$B$65="STRS",0,'Expense Input'!F9*'Model Calculations'!F67)</f>
        <v>85107.37253399998</v>
      </c>
      <c r="G68" s="71">
        <f>IF('Expense Input'!$B$65="STRS",0,'Expense Input'!G9*'Model Calculations'!G67)</f>
        <v>87235.056847349988</v>
      </c>
    </row>
    <row r="69" spans="1:7">
      <c r="A69" s="37" t="s">
        <v>186</v>
      </c>
      <c r="B69" s="71">
        <f>IF('Expense Input'!$B$65="STRS",0,'Expense Input'!B11*'Model Calculations'!B67)</f>
        <v>0</v>
      </c>
      <c r="C69" s="71">
        <f>IF('Expense Input'!$B$65="STRS",0,'Expense Input'!C11*'Model Calculations'!C67)</f>
        <v>1240</v>
      </c>
      <c r="D69" s="71">
        <f>IF('Expense Input'!$B$65="STRS",0,'Expense Input'!D11*'Model Calculations'!D67)</f>
        <v>1240</v>
      </c>
      <c r="E69" s="71">
        <f>IF('Expense Input'!$B$65="STRS",0,'Expense Input'!E11*'Model Calculations'!E67)</f>
        <v>1240</v>
      </c>
      <c r="F69" s="71">
        <f>IF('Expense Input'!$B$65="STRS",0,'Expense Input'!F11*'Model Calculations'!F67)</f>
        <v>1240</v>
      </c>
      <c r="G69" s="71">
        <f>IF('Expense Input'!$B$65="STRS",0,'Expense Input'!G11*'Model Calculations'!G67)</f>
        <v>1240</v>
      </c>
    </row>
    <row r="70" spans="1:7">
      <c r="A70" s="37" t="s">
        <v>162</v>
      </c>
      <c r="B70" s="71">
        <f>IF('Expense Input'!$B$66="STRS",0,'Expense Input'!B15*'Model Calculations'!B67)</f>
        <v>0</v>
      </c>
      <c r="C70" s="71">
        <f>IF('Expense Input'!$B$66="STRS",0,'Expense Input'!C15*'Model Calculations'!C67)</f>
        <v>0</v>
      </c>
      <c r="D70" s="71">
        <f>IF('Expense Input'!$B$66="STRS",0,'Expense Input'!D15*'Model Calculations'!D67)</f>
        <v>0</v>
      </c>
      <c r="E70" s="71">
        <f>IF('Expense Input'!$B$66="STRS",0,'Expense Input'!E15*'Model Calculations'!E67)</f>
        <v>0</v>
      </c>
      <c r="F70" s="71">
        <f>IF('Expense Input'!$B$66="STRS",0,'Expense Input'!F15*'Model Calculations'!F67)</f>
        <v>0</v>
      </c>
      <c r="G70" s="71">
        <f>IF('Expense Input'!$B$66="STRS",0,'Expense Input'!G15*'Model Calculations'!G67)</f>
        <v>0</v>
      </c>
    </row>
    <row r="71" spans="1:7">
      <c r="A71" s="37" t="s">
        <v>163</v>
      </c>
      <c r="B71" s="71">
        <f>IF('Expense Input'!$B67="STRS",0,'Expense Input'!B19*'Model Calculations'!B$67)</f>
        <v>0</v>
      </c>
      <c r="C71" s="71">
        <f>IF('Expense Input'!$B$67="STRS",0,'Expense Input'!C19*'Model Calculations'!C67)</f>
        <v>13640</v>
      </c>
      <c r="D71" s="71">
        <f>IF('Expense Input'!$B$67="STRS",0,'Expense Input'!D19*'Model Calculations'!D67)</f>
        <v>13980.999999999998</v>
      </c>
      <c r="E71" s="71">
        <f>IF('Expense Input'!$B$67="STRS",0,'Expense Input'!E19*'Model Calculations'!E67)</f>
        <v>14330.524999999996</v>
      </c>
      <c r="F71" s="71">
        <f>IF('Expense Input'!$B$67="STRS",0,'Expense Input'!F19*'Model Calculations'!F67)</f>
        <v>14688.788124999994</v>
      </c>
      <c r="G71" s="71">
        <f>IF('Expense Input'!$B$67="STRS",0,'Expense Input'!G19*'Model Calculations'!G67)</f>
        <v>15056.007828124993</v>
      </c>
    </row>
    <row r="72" spans="1:7">
      <c r="A72" s="37" t="s">
        <v>289</v>
      </c>
      <c r="B72" s="71">
        <f>IF('Expense Input'!$B68="STRS",0,'Expense Input'!B23*'Model Calculations'!B$67)</f>
        <v>0</v>
      </c>
      <c r="C72" s="71">
        <f>IF('Expense Input'!$B68="STRS",0,'Expense Input'!C23*'Model Calculations'!C$67)</f>
        <v>0</v>
      </c>
      <c r="D72" s="71">
        <f>IF('Expense Input'!$B68="STRS",0,'Expense Input'!D23*'Model Calculations'!D$67)</f>
        <v>0</v>
      </c>
      <c r="E72" s="71">
        <f>IF('Expense Input'!$B68="STRS",0,'Expense Input'!E23*'Model Calculations'!E$67)</f>
        <v>0</v>
      </c>
      <c r="F72" s="71">
        <f>IF('Expense Input'!$B68="STRS",0,'Expense Input'!F23*'Model Calculations'!F$67)</f>
        <v>0</v>
      </c>
      <c r="G72" s="71">
        <f>IF('Expense Input'!$B68="STRS",0,'Expense Input'!G23*'Model Calculations'!G$67)</f>
        <v>0</v>
      </c>
    </row>
    <row r="73" spans="1:7">
      <c r="A73" s="37" t="s">
        <v>164</v>
      </c>
      <c r="B73" s="71">
        <f>IF('Expense Input'!$B$69="STRS",0,'Expense Input'!B27*'Model Calculations'!B67)</f>
        <v>0</v>
      </c>
      <c r="C73" s="71">
        <f>IF('Expense Input'!$B$69="STRS",0,'Expense Input'!C27*'Model Calculations'!C67)</f>
        <v>0</v>
      </c>
      <c r="D73" s="71">
        <f>IF('Expense Input'!$B$69="STRS",0,'Expense Input'!D27*'Model Calculations'!D67)</f>
        <v>0</v>
      </c>
      <c r="E73" s="71">
        <f>IF('Expense Input'!$B$69="STRS",0,'Expense Input'!E27*'Model Calculations'!E67)</f>
        <v>0</v>
      </c>
      <c r="F73" s="71">
        <f>IF('Expense Input'!$B$69="STRS",0,'Expense Input'!F27*'Model Calculations'!F67)</f>
        <v>0</v>
      </c>
      <c r="G73" s="71">
        <f>IF('Expense Input'!$B$69="STRS",0,'Expense Input'!G27*'Model Calculations'!G67)</f>
        <v>0</v>
      </c>
    </row>
    <row r="74" spans="1:7">
      <c r="A74" s="37" t="s">
        <v>197</v>
      </c>
      <c r="B74" s="71">
        <f>'Expense Input'!B59*'Model Calculations'!B67</f>
        <v>0</v>
      </c>
      <c r="C74" s="71">
        <f>'Expense Input'!C59*'Model Calculations'!C67</f>
        <v>22238.16</v>
      </c>
      <c r="D74" s="71">
        <f>'Expense Input'!D59*'Model Calculations'!D67</f>
        <v>24787.041999999998</v>
      </c>
      <c r="E74" s="71">
        <f>'Expense Input'!E59*'Model Calculations'!E67</f>
        <v>25406.718049999996</v>
      </c>
      <c r="F74" s="71">
        <f>'Expense Input'!F59*'Model Calculations'!F67</f>
        <v>26041.886001249994</v>
      </c>
      <c r="G74" s="71">
        <f>'Expense Input'!G59*'Model Calculations'!G67</f>
        <v>26692.933151281235</v>
      </c>
    </row>
    <row r="75" spans="1:7">
      <c r="A75" s="37" t="s">
        <v>198</v>
      </c>
      <c r="B75" s="71">
        <f>SUM(B68:B74)</f>
        <v>0</v>
      </c>
      <c r="C75" s="71">
        <f t="shared" ref="C75:G75" si="5">SUM(C68:C74)</f>
        <v>99684.096000000005</v>
      </c>
      <c r="D75" s="71">
        <f t="shared" si="5"/>
        <v>110888.66159999999</v>
      </c>
      <c r="E75" s="71">
        <f t="shared" si="5"/>
        <v>120549.17671999997</v>
      </c>
      <c r="F75" s="71">
        <f t="shared" si="5"/>
        <v>127078.04666024997</v>
      </c>
      <c r="G75" s="71">
        <f t="shared" si="5"/>
        <v>130223.99782675621</v>
      </c>
    </row>
    <row r="76" spans="1:7">
      <c r="A76" s="24" t="s">
        <v>55</v>
      </c>
    </row>
    <row r="77" spans="1:7">
      <c r="A77" s="37" t="s">
        <v>196</v>
      </c>
      <c r="B77" s="73">
        <v>1.4500000000000001E-2</v>
      </c>
      <c r="C77" s="73">
        <v>1.4500000000000001E-2</v>
      </c>
      <c r="D77" s="73">
        <v>1.4500000000000001E-2</v>
      </c>
      <c r="E77" s="73">
        <v>1.4500000000000001E-2</v>
      </c>
      <c r="F77" s="73">
        <v>1.4500000000000001E-2</v>
      </c>
      <c r="G77" s="73">
        <v>1.4500000000000001E-2</v>
      </c>
    </row>
    <row r="78" spans="1:7">
      <c r="A78" s="37" t="s">
        <v>201</v>
      </c>
      <c r="B78" s="71">
        <f>('Expense Input'!B29+'Expense Input'!B59)*'Model Calculations'!B77</f>
        <v>0</v>
      </c>
      <c r="C78" s="71">
        <f>('Expense Input'!C29+'Expense Input'!C59)*'Model Calculations'!C77</f>
        <v>23313.216</v>
      </c>
      <c r="D78" s="71">
        <f>('Expense Input'!D29+'Expense Input'!D59)*'Model Calculations'!D77</f>
        <v>25933.638599999998</v>
      </c>
      <c r="E78" s="71">
        <f>('Expense Input'!E29+'Expense Input'!E59)*'Model Calculations'!E77</f>
        <v>28192.952619999996</v>
      </c>
      <c r="F78" s="71">
        <f>('Expense Input'!F29+'Expense Input'!F59)*'Model Calculations'!F77</f>
        <v>29719.865751187495</v>
      </c>
      <c r="G78" s="71">
        <f>('Expense Input'!G29+'Expense Input'!G59)*'Model Calculations'!G77</f>
        <v>30455.612394967182</v>
      </c>
    </row>
    <row r="79" spans="1:7">
      <c r="A79" s="58" t="s">
        <v>202</v>
      </c>
    </row>
    <row r="80" spans="1:7">
      <c r="A80" s="37" t="s">
        <v>196</v>
      </c>
      <c r="B80" s="73">
        <v>5.0000000000000001E-4</v>
      </c>
      <c r="C80" s="73">
        <v>5.0000000000000001E-4</v>
      </c>
      <c r="D80" s="73">
        <v>5.0000000000000001E-4</v>
      </c>
      <c r="E80" s="73">
        <v>5.0000000000000001E-4</v>
      </c>
      <c r="F80" s="73">
        <v>5.0000000000000001E-4</v>
      </c>
      <c r="G80" s="73">
        <v>5.0000000000000001E-4</v>
      </c>
    </row>
    <row r="81" spans="1:7">
      <c r="A81" s="37" t="s">
        <v>203</v>
      </c>
      <c r="B81" s="71">
        <f>B80*('Expense Input'!B29+'Expense Input'!B59)</f>
        <v>0</v>
      </c>
      <c r="C81" s="71">
        <f>C80*('Expense Input'!C29+'Expense Input'!C59)</f>
        <v>803.904</v>
      </c>
      <c r="D81" s="71">
        <f>D80*('Expense Input'!D29+'Expense Input'!D59)</f>
        <v>894.26339999999993</v>
      </c>
      <c r="E81" s="71">
        <f>E80*('Expense Input'!E29+'Expense Input'!E59)</f>
        <v>972.17077999999981</v>
      </c>
      <c r="F81" s="71">
        <f>F80*('Expense Input'!F29+'Expense Input'!F59)</f>
        <v>1024.8229569374998</v>
      </c>
      <c r="G81" s="71">
        <f>G80*('Expense Input'!G29+'Expense Input'!G59)</f>
        <v>1050.1935308609372</v>
      </c>
    </row>
    <row r="82" spans="1:7">
      <c r="A82" s="58" t="s">
        <v>204</v>
      </c>
    </row>
    <row r="83" spans="1:7">
      <c r="A83" s="37" t="s">
        <v>196</v>
      </c>
      <c r="B83" s="74">
        <v>0.02</v>
      </c>
      <c r="C83" s="74">
        <v>2.1000000000000001E-2</v>
      </c>
      <c r="D83" s="74">
        <v>2.1999999999999999E-2</v>
      </c>
      <c r="E83" s="74">
        <v>2.3E-2</v>
      </c>
      <c r="F83" s="74">
        <v>2.4E-2</v>
      </c>
      <c r="G83" s="74">
        <v>2.5000000000000001E-2</v>
      </c>
    </row>
    <row r="84" spans="1:7">
      <c r="A84" s="37" t="s">
        <v>205</v>
      </c>
      <c r="B84" s="71">
        <f>B83*('Expense Input'!B29+'Expense Input'!B59)</f>
        <v>0</v>
      </c>
      <c r="C84" s="71">
        <f>C83*('Expense Input'!C29+'Expense Input'!C59)</f>
        <v>33763.968000000001</v>
      </c>
      <c r="D84" s="71">
        <f>D83*('Expense Input'!D29+'Expense Input'!D59)</f>
        <v>39347.589599999992</v>
      </c>
      <c r="E84" s="71">
        <f>E83*('Expense Input'!E29+'Expense Input'!E59)</f>
        <v>44719.855879999988</v>
      </c>
      <c r="F84" s="71">
        <f>F83*('Expense Input'!F29+'Expense Input'!F59)</f>
        <v>49191.501932999992</v>
      </c>
      <c r="G84" s="71">
        <f>G83*('Expense Input'!G29+'Expense Input'!G59)</f>
        <v>52509.676543046866</v>
      </c>
    </row>
    <row r="86" spans="1:7">
      <c r="A86" s="23" t="s">
        <v>227</v>
      </c>
    </row>
    <row r="87" spans="1:7">
      <c r="B87" s="24" t="s">
        <v>199</v>
      </c>
      <c r="C87" s="24" t="s">
        <v>76</v>
      </c>
      <c r="D87" s="24" t="s">
        <v>77</v>
      </c>
      <c r="E87" s="24" t="s">
        <v>78</v>
      </c>
      <c r="F87" s="24" t="s">
        <v>79</v>
      </c>
      <c r="G87" s="24" t="s">
        <v>80</v>
      </c>
    </row>
    <row r="88" spans="1:7">
      <c r="A88" s="37" t="s">
        <v>229</v>
      </c>
      <c r="C88" s="75">
        <f>'Revenue Input'!C61*'General Info Input'!B36*'General Info Input'!B19</f>
        <v>280</v>
      </c>
      <c r="D88" s="75">
        <f>'Revenue Input'!D61*'General Info Input'!C36*'General Info Input'!C19</f>
        <v>297.5</v>
      </c>
      <c r="E88" s="75">
        <f>'Revenue Input'!E61*'General Info Input'!D36*'General Info Input'!D19</f>
        <v>315</v>
      </c>
      <c r="F88" s="75">
        <f>'Revenue Input'!F61*'General Info Input'!E36*'General Info Input'!E19</f>
        <v>315</v>
      </c>
      <c r="G88" s="75">
        <f>'Revenue Input'!G61*'General Info Input'!F36*'General Info Input'!F19</f>
        <v>315</v>
      </c>
    </row>
    <row r="89" spans="1:7">
      <c r="A89" s="37" t="s">
        <v>230</v>
      </c>
      <c r="C89" s="76">
        <f>C88*'General Info Input'!$G$50</f>
        <v>50400</v>
      </c>
      <c r="D89" s="76">
        <f>D88*'General Info Input'!$G$50</f>
        <v>53550</v>
      </c>
      <c r="E89" s="76">
        <f>E88*'General Info Input'!$G$50</f>
        <v>56700</v>
      </c>
      <c r="F89" s="76">
        <f>F88*'General Info Input'!$G$50</f>
        <v>56700</v>
      </c>
      <c r="G89" s="76">
        <f>G88*'General Info Input'!$G$50</f>
        <v>56700</v>
      </c>
    </row>
    <row r="90" spans="1:7">
      <c r="A90" s="24" t="s">
        <v>228</v>
      </c>
      <c r="C90" s="66">
        <f>IF('Revenue Input'!C60="yes",IF('Revenue Input'!C57="yes",C89*'Revenue Input'!C64,0),0)</f>
        <v>0</v>
      </c>
      <c r="D90" s="66">
        <f>IF('Revenue Input'!D60="yes",IF('Revenue Input'!D57="yes",D89*'Revenue Input'!D64,0),0)</f>
        <v>0</v>
      </c>
      <c r="E90" s="66">
        <f>IF('Revenue Input'!E60="yes",IF('Revenue Input'!E57="yes",E89*'Revenue Input'!E64,0),0)</f>
        <v>0</v>
      </c>
      <c r="F90" s="66">
        <f>IF('Revenue Input'!F60="yes",IF('Revenue Input'!F57="yes",F89*'Revenue Input'!F64,0),0)</f>
        <v>0</v>
      </c>
      <c r="G90" s="66">
        <f>IF('Revenue Input'!G60="yes",IF('Revenue Input'!G57="yes",G89*'Revenue Input'!G64,0),0)</f>
        <v>0</v>
      </c>
    </row>
    <row r="91" spans="1:7">
      <c r="A91" s="24" t="s">
        <v>231</v>
      </c>
      <c r="C91" s="66">
        <f>IF('Revenue Input'!C60="yes",IF('Revenue Input'!C58="yes",'Revenue Input'!C65*'Model Calculations'!C89,0),0)</f>
        <v>0</v>
      </c>
      <c r="D91" s="66">
        <f>IF('Revenue Input'!D60="yes",IF('Revenue Input'!D58="yes",'Revenue Input'!D65*'Model Calculations'!D89,0),0)</f>
        <v>0</v>
      </c>
      <c r="E91" s="66">
        <f>IF('Revenue Input'!E60="yes",IF('Revenue Input'!E58="yes",'Revenue Input'!E65*'Model Calculations'!E89,0),0)</f>
        <v>0</v>
      </c>
      <c r="F91" s="66">
        <f>IF('Revenue Input'!F60="yes",IF('Revenue Input'!F58="yes",'Revenue Input'!F65*'Model Calculations'!F89,0),0)</f>
        <v>0</v>
      </c>
      <c r="G91" s="66">
        <f>IF('Revenue Input'!G60="yes",IF('Revenue Input'!G58="yes",'Revenue Input'!G65*'Model Calculations'!G89,0),0)</f>
        <v>0</v>
      </c>
    </row>
    <row r="92" spans="1:7">
      <c r="A92" s="24" t="s">
        <v>232</v>
      </c>
      <c r="C92" s="66">
        <f>IF('Revenue Input'!C60="yes",IF('Revenue Input'!C59="yes",'Revenue Input'!C66*'Model Calculations'!C89,0),0)</f>
        <v>0</v>
      </c>
      <c r="D92" s="66">
        <f>IF('Revenue Input'!D60="yes",IF('Revenue Input'!D59="yes",'Revenue Input'!D66*'Model Calculations'!D89,0),0)</f>
        <v>0</v>
      </c>
      <c r="E92" s="66">
        <f>IF('Revenue Input'!E60="yes",IF('Revenue Input'!E59="yes",'Revenue Input'!E66*'Model Calculations'!E89,0),0)</f>
        <v>0</v>
      </c>
      <c r="F92" s="66">
        <f>IF('Revenue Input'!F60="yes",IF('Revenue Input'!F59="yes",'Revenue Input'!F66*'Model Calculations'!F89,0),0)</f>
        <v>0</v>
      </c>
      <c r="G92" s="66">
        <f>IF('Revenue Input'!G60="yes",IF('Revenue Input'!G59="yes",'Revenue Input'!G66*'Model Calculations'!G89,0),0)</f>
        <v>0</v>
      </c>
    </row>
    <row r="93" spans="1:7">
      <c r="A93" s="24" t="s">
        <v>233</v>
      </c>
      <c r="C93" s="66">
        <f>IF('Revenue Input'!C60="yes",IF('Revenue Input'!C57="yes",'Revenue Input'!C67*'Model Calculations'!C89,0),0)</f>
        <v>0</v>
      </c>
      <c r="D93" s="66">
        <f>IF('Revenue Input'!D60="yes",IF('Revenue Input'!D57="yes",'Revenue Input'!D67*'Model Calculations'!D89,0),0)</f>
        <v>0</v>
      </c>
      <c r="E93" s="66">
        <f>IF('Revenue Input'!E60="yes",IF('Revenue Input'!E57="yes",'Revenue Input'!E67*'Model Calculations'!E89,0),0)</f>
        <v>0</v>
      </c>
      <c r="F93" s="66">
        <f>IF('Revenue Input'!F60="yes",IF('Revenue Input'!F57="yes",'Revenue Input'!F67*'Model Calculations'!F89,0),0)</f>
        <v>0</v>
      </c>
      <c r="G93" s="66">
        <f>IF('Revenue Input'!G60="yes",IF('Revenue Input'!G57="yes",'Revenue Input'!G67*'Model Calculations'!G89,0),0)</f>
        <v>0</v>
      </c>
    </row>
    <row r="94" spans="1:7">
      <c r="A94" s="24" t="s">
        <v>234</v>
      </c>
      <c r="C94" s="66">
        <f>IF('Revenue Input'!C60="yes",IF('Revenue Input'!C58="yes",'Revenue Input'!C68*'Model Calculations'!C89,0),0)</f>
        <v>0</v>
      </c>
      <c r="D94" s="66">
        <f>IF('Revenue Input'!D60="yes",IF('Revenue Input'!D58="yes",'Revenue Input'!D68*'Model Calculations'!D89,0),0)</f>
        <v>0</v>
      </c>
      <c r="E94" s="66">
        <f>IF('Revenue Input'!E60="yes",IF('Revenue Input'!E58="yes",'Revenue Input'!E68*'Model Calculations'!E89,0),0)</f>
        <v>0</v>
      </c>
      <c r="F94" s="66">
        <f>IF('Revenue Input'!F60="yes",IF('Revenue Input'!F58="yes",'Revenue Input'!F68*'Model Calculations'!F89,0),0)</f>
        <v>0</v>
      </c>
      <c r="G94" s="66">
        <f>IF('Revenue Input'!G60="yes",IF('Revenue Input'!G58="yes",'Revenue Input'!G68*'Model Calculations'!G89,0),0)</f>
        <v>0</v>
      </c>
    </row>
    <row r="95" spans="1:7">
      <c r="A95" s="37" t="s">
        <v>241</v>
      </c>
      <c r="C95" s="75">
        <f>'Revenue Input'!C61*('General Info Input'!B19*(1-'General Info Input'!B36))</f>
        <v>120.00000000000001</v>
      </c>
      <c r="D95" s="75">
        <f>'Revenue Input'!D61*('General Info Input'!C19*(1-'General Info Input'!C36))</f>
        <v>127.50000000000001</v>
      </c>
      <c r="E95" s="75">
        <f>'Revenue Input'!E61*('General Info Input'!D19*(1-'General Info Input'!D36))</f>
        <v>135.00000000000003</v>
      </c>
      <c r="F95" s="75">
        <f>'Revenue Input'!F61*('General Info Input'!E19*(1-'General Info Input'!E36))</f>
        <v>135.00000000000003</v>
      </c>
      <c r="G95" s="75">
        <f>'Revenue Input'!G61*('General Info Input'!F19*(1-'General Info Input'!F36))</f>
        <v>135.00000000000003</v>
      </c>
    </row>
    <row r="96" spans="1:7">
      <c r="A96" s="37" t="s">
        <v>242</v>
      </c>
      <c r="C96" s="76">
        <f>C95*'General Info Input'!$G$50</f>
        <v>21600.000000000004</v>
      </c>
      <c r="D96" s="76">
        <f>D95*'General Info Input'!$G$50</f>
        <v>22950.000000000004</v>
      </c>
      <c r="E96" s="76">
        <f>E95*'General Info Input'!$G$50</f>
        <v>24300.000000000004</v>
      </c>
      <c r="F96" s="76">
        <f>F95*'General Info Input'!$G$50</f>
        <v>24300.000000000004</v>
      </c>
      <c r="G96" s="76">
        <f>G95*'General Info Input'!$G$50</f>
        <v>24300.000000000004</v>
      </c>
    </row>
    <row r="97" spans="1:7">
      <c r="A97" s="24" t="s">
        <v>243</v>
      </c>
      <c r="C97" s="66">
        <f>IF('Revenue Input'!C57="yes",IF('Revenue Input'!C60="yes",'Revenue Input'!C71*'Model Calculations'!C96,'Revenue Input'!C71*('Model Calculations'!C89+'Model Calculations'!C96)),0)</f>
        <v>147600</v>
      </c>
      <c r="D97" s="66">
        <f>IF('Revenue Input'!D57="yes",IF('Revenue Input'!D60="yes",'Revenue Input'!D71*'Model Calculations'!D96,'Revenue Input'!D71*('Model Calculations'!D89+'Model Calculations'!D96)),0)</f>
        <v>156825</v>
      </c>
      <c r="E97" s="66">
        <f>IF('Revenue Input'!E57="yes",IF('Revenue Input'!E60="yes",'Revenue Input'!E71*'Model Calculations'!E96,'Revenue Input'!E71*('Model Calculations'!E89+'Model Calculations'!E96)),0)</f>
        <v>166050</v>
      </c>
      <c r="F97" s="66">
        <f>IF('Revenue Input'!F57="yes",IF('Revenue Input'!F60="yes",'Revenue Input'!F71*'Model Calculations'!F96,'Revenue Input'!F71*('Model Calculations'!F89+'Model Calculations'!F96)),0)</f>
        <v>166050</v>
      </c>
      <c r="G97" s="66">
        <f>IF('Revenue Input'!G57="yes",IF('Revenue Input'!G60="yes",'Revenue Input'!G71*'Model Calculations'!G96,'Revenue Input'!G71*('Model Calculations'!G89+'Model Calculations'!G96)),0)</f>
        <v>166050</v>
      </c>
    </row>
    <row r="98" spans="1:7">
      <c r="A98" s="24" t="s">
        <v>244</v>
      </c>
      <c r="C98" s="66">
        <f>IF('Revenue Input'!C58="yes",IF('Revenue Input'!C60="yes",'Revenue Input'!C72*'Model Calculations'!C96,'Revenue Input'!C72*('Model Calculations'!C89+'Model Calculations'!C96)),0)</f>
        <v>248400</v>
      </c>
      <c r="D98" s="66">
        <f>IF('Revenue Input'!D58="yes",IF('Revenue Input'!D60="yes",'Revenue Input'!D72*'Model Calculations'!D96,'Revenue Input'!D72*('Model Calculations'!D89+'Model Calculations'!D96)),0)</f>
        <v>263925</v>
      </c>
      <c r="E98" s="66">
        <f>IF('Revenue Input'!E58="yes",IF('Revenue Input'!E60="yes",'Revenue Input'!E72*'Model Calculations'!E96,'Revenue Input'!E72*('Model Calculations'!E89+'Model Calculations'!E96)),0)</f>
        <v>279450</v>
      </c>
      <c r="F98" s="66">
        <f>IF('Revenue Input'!F58="yes",IF('Revenue Input'!F60="yes",'Revenue Input'!F72*'Model Calculations'!F96,'Revenue Input'!F72*('Model Calculations'!F89+'Model Calculations'!F96)),0)</f>
        <v>279450</v>
      </c>
      <c r="G98" s="66">
        <f>IF('Revenue Input'!G58="yes",IF('Revenue Input'!G60="yes",'Revenue Input'!G72*'Model Calculations'!G96,'Revenue Input'!G72*('Model Calculations'!G89+'Model Calculations'!G96)),0)</f>
        <v>279450</v>
      </c>
    </row>
    <row r="99" spans="1:7">
      <c r="A99" s="24" t="s">
        <v>245</v>
      </c>
      <c r="C99" s="66">
        <f>IF('Revenue Input'!C59="yes",IF('Revenue Input'!C60="yes",'Revenue Input'!C73*'Model Calculations'!C96,'Revenue Input'!C73*('Model Calculations'!C89+'Model Calculations'!C96)),0)</f>
        <v>72000</v>
      </c>
      <c r="D99" s="66">
        <f>IF('Revenue Input'!D59="yes",IF('Revenue Input'!D60="yes",'Revenue Input'!D73*'Model Calculations'!D96,'Revenue Input'!D73*('Model Calculations'!D89+'Model Calculations'!D96)),0)</f>
        <v>76500</v>
      </c>
      <c r="E99" s="66">
        <f>IF('Revenue Input'!E59="yes",IF('Revenue Input'!E60="yes",'Revenue Input'!E73*'Model Calculations'!E96,'Revenue Input'!E73*('Model Calculations'!E89+'Model Calculations'!E96)),0)</f>
        <v>81000</v>
      </c>
      <c r="F99" s="66">
        <f>IF('Revenue Input'!F59="yes",IF('Revenue Input'!F60="yes",'Revenue Input'!F73*'Model Calculations'!F96,'Revenue Input'!F73*('Model Calculations'!F89+'Model Calculations'!F96)),0)</f>
        <v>81000</v>
      </c>
      <c r="G99" s="66">
        <f>IF('Revenue Input'!G59="yes",IF('Revenue Input'!G60="yes",'Revenue Input'!G73*'Model Calculations'!G96,'Revenue Input'!G73*('Model Calculations'!G89+'Model Calculations'!G96)),0)</f>
        <v>81000</v>
      </c>
    </row>
    <row r="101" spans="1:7">
      <c r="C101" s="71"/>
      <c r="D101" s="71"/>
      <c r="E101" s="71"/>
      <c r="F101" s="71"/>
      <c r="G101" s="71"/>
    </row>
    <row r="102" spans="1:7">
      <c r="C102" s="71"/>
      <c r="D102" s="71"/>
      <c r="E102" s="71"/>
      <c r="F102" s="71"/>
      <c r="G102" s="71"/>
    </row>
    <row r="103" spans="1:7">
      <c r="C103" s="71"/>
      <c r="D103" s="71"/>
      <c r="E103" s="71"/>
      <c r="F103" s="71"/>
      <c r="G103" s="71"/>
    </row>
    <row r="104" spans="1:7">
      <c r="C104" s="77"/>
      <c r="D104" s="77"/>
      <c r="E104" s="77"/>
      <c r="F104" s="77"/>
      <c r="G104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General Info Input</vt:lpstr>
      <vt:lpstr>Revenue Input</vt:lpstr>
      <vt:lpstr>Expense Input</vt:lpstr>
      <vt:lpstr>Budget Summary</vt:lpstr>
      <vt:lpstr>Cash Flow Input</vt:lpstr>
      <vt:lpstr>Cash Flow Summary</vt:lpstr>
      <vt:lpstr>Y1 Cash Flow Assumptions</vt:lpstr>
      <vt:lpstr>Y2_3 Cash Flow Assumptions</vt:lpstr>
      <vt:lpstr>Model Calculations</vt:lpstr>
      <vt:lpstr>'Cash Flow Summary'!Print_Area</vt:lpstr>
      <vt:lpstr>'Cash Flow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Jennie Shin</dc:creator>
  <cp:keywords>Keywords</cp:keywords>
  <cp:lastModifiedBy>NGH</cp:lastModifiedBy>
  <cp:lastPrinted>2016-10-09T17:14:54Z</cp:lastPrinted>
  <dcterms:created xsi:type="dcterms:W3CDTF">2016-09-16T16:30:17Z</dcterms:created>
  <dcterms:modified xsi:type="dcterms:W3CDTF">2017-11-06T18:59:38Z</dcterms:modified>
</cp:coreProperties>
</file>